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35" windowHeight="5565" tabRatio="915" activeTab="0"/>
  </bookViews>
  <sheets>
    <sheet name="目錄" sheetId="1" r:id="rId1"/>
    <sheet name="表1土地與人口" sheetId="2" r:id="rId2"/>
    <sheet name="表2人口動態" sheetId="3" r:id="rId3"/>
    <sheet name="表3各鄉鎮土地與人口" sheetId="4" r:id="rId4"/>
    <sheet name="表4各鄉鎮市人口趨勢" sheetId="5" r:id="rId5"/>
    <sheet name="表5勞動力與就業" sheetId="6" r:id="rId6"/>
    <sheet name="表6稅捐徵收" sheetId="7" r:id="rId7"/>
    <sheet name="表7營利事業銷售額" sheetId="8" r:id="rId8"/>
    <sheet name="表8環境保護" sheetId="9" r:id="rId9"/>
    <sheet name="表9社會福利" sheetId="10" r:id="rId10"/>
    <sheet name="表10衛生醫療" sheetId="11" r:id="rId11"/>
    <sheet name="表11保安防衛" sheetId="12" r:id="rId12"/>
    <sheet name="表12機動車輛" sheetId="13" r:id="rId13"/>
    <sheet name="表13交通事故" sheetId="14" r:id="rId14"/>
    <sheet name="表14火災防護" sheetId="15" r:id="rId15"/>
    <sheet name="表15歲出預算執行情形" sheetId="16" r:id="rId16"/>
    <sheet name="表16歲入預算執行情形" sheetId="17" r:id="rId17"/>
    <sheet name="表17工商行業" sheetId="18" r:id="rId18"/>
    <sheet name="表18總樓板面積" sheetId="19" r:id="rId19"/>
    <sheet name="表19觀光遊憩區遊客人次" sheetId="20" r:id="rId20"/>
    <sheet name="表20漁業" sheetId="21" r:id="rId21"/>
    <sheet name="表21教育" sheetId="22" r:id="rId22"/>
    <sheet name="表22物價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p" localSheetId="9">#REF!</definedName>
    <definedName name="\p">#REF!</definedName>
    <definedName name="__123Graph_A" hidden="1">'[7]A6'!$C$51:$C$86</definedName>
    <definedName name="__123Graph_B" hidden="1">'[7]A6'!$D$51:$D$86</definedName>
    <definedName name="__123Graph_C" hidden="1">'[7]A6'!$E$51:$E$86</definedName>
    <definedName name="__123Graph_X" hidden="1">'[7]A6'!$B$51:$B$86</definedName>
    <definedName name="_PPAG" localSheetId="9">#REF!</definedName>
    <definedName name="_PPAG">#REF!</definedName>
    <definedName name="_PPAG1" localSheetId="9">#REF!</definedName>
    <definedName name="_PPAG1">#REF!</definedName>
    <definedName name="aaa" localSheetId="20" hidden="1">{"'t-28.1'!$A$3:$H$84","'t-28.2'!$B$2:$K$83","'t-28.3 '!$A$3:$H$84","'t-28.4 '!$B$2:$I$83"}</definedName>
    <definedName name="aaa" localSheetId="21" hidden="1">{"'t-28.1'!$A$3:$H$84","'t-28.2'!$B$2:$K$83","'t-28.3 '!$A$3:$H$84","'t-28.4 '!$B$2:$I$83"}</definedName>
    <definedName name="aaa" localSheetId="2" hidden="1">{"'t-28.1'!$A$3:$H$84","'t-28.2'!$B$2:$K$83","'t-28.3 '!$A$3:$H$84","'t-28.4 '!$B$2:$I$83"}</definedName>
    <definedName name="aaa" localSheetId="9" hidden="1">{"'t-28.1'!$A$3:$H$84","'t-28.2'!$B$2:$K$83","'t-28.3 '!$A$3:$H$84","'t-28.4 '!$B$2:$I$83"}</definedName>
    <definedName name="aaa" hidden="1">{"'t-28.1'!$A$3:$H$84","'t-28.2'!$B$2:$K$83","'t-28.3 '!$A$3:$H$84","'t-28.4 '!$B$2:$I$83"}</definedName>
    <definedName name="abc" localSheetId="9">'[27]5-1參考'!#REF!</definedName>
    <definedName name="abc">'[9]5-1參考'!#REF!</definedName>
    <definedName name="HTML_CodePage" hidden="1">950</definedName>
    <definedName name="HTML_Control" localSheetId="20" hidden="1">{"'t-28.1'!$A$3:$H$84","'t-28.2'!$B$2:$K$83","'t-28.3 '!$A$3:$H$84","'t-28.4 '!$B$2:$I$83"}</definedName>
    <definedName name="HTML_Control" localSheetId="21" hidden="1">{"'t-28.1'!$A$3:$H$84","'t-28.2'!$B$2:$K$83","'t-28.3 '!$A$3:$H$84","'t-28.4 '!$B$2:$I$83"}</definedName>
    <definedName name="HTML_Control" localSheetId="2" hidden="1">{"'t-28.1'!$A$3:$H$84","'t-28.2'!$B$2:$K$83","'t-28.3 '!$A$3:$H$84","'t-28.4 '!$B$2:$I$83"}</definedName>
    <definedName name="HTML_Control" localSheetId="9" hidden="1">{"'t-28.1'!$A$3:$H$84","'t-28.2'!$B$2:$K$83","'t-28.3 '!$A$3:$H$84","'t-28.4 '!$B$2:$I$83"}</definedName>
    <definedName name="HTML_Control" hidden="1">{"'t-28.1'!$A$3:$H$84","'t-28.2'!$B$2:$K$83","'t-28.3 '!$A$3:$H$84","'t-28.4 '!$B$2:$I$83"}</definedName>
    <definedName name="HTML_Description" hidden="1">"單位：千美元"</definedName>
    <definedName name="HTML_Email" hidden="1">""</definedName>
    <definedName name="HTML_Header" hidden="1">"表二十八  臺灣地區主要農產品進口值"</definedName>
    <definedName name="HTML_LastUpdate" hidden="1">"2000/6/19"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"c:\淑玲\statistic\mon\t28.htm"</definedName>
    <definedName name="HTML_Title" hidden="1">""</definedName>
    <definedName name="MSUP" localSheetId="9">#REF!</definedName>
    <definedName name="MSUP">#REF!</definedName>
    <definedName name="_xlnm.Print_Area" localSheetId="10">'表10衛生醫療'!$A$1:$I$86</definedName>
    <definedName name="_xlnm.Print_Area" localSheetId="11">'表11保安防衛'!$A$1:$AH$64</definedName>
    <definedName name="_xlnm.Print_Area" localSheetId="12">'表12機動車輛'!$A$1:$AB$62</definedName>
    <definedName name="_xlnm.Print_Area" localSheetId="13">'表13交通事故'!$A$1:$U$60</definedName>
    <definedName name="_xlnm.Print_Area" localSheetId="14">'表14火災防護'!$A$1:$S$61</definedName>
    <definedName name="_xlnm.Print_Area" localSheetId="15">'表15歲出預算執行情形'!$A$1:$S$50</definedName>
    <definedName name="_xlnm.Print_Area" localSheetId="16">'表16歲入預算執行情形'!$A$1:$S$19</definedName>
    <definedName name="_xlnm.Print_Area" localSheetId="17">'表17工商行業'!$A$1:$R$63</definedName>
    <definedName name="_xlnm.Print_Area" localSheetId="18">'表18總樓板面積'!$A$1:$T$60</definedName>
    <definedName name="_xlnm.Print_Area" localSheetId="19">'表19觀光遊憩區遊客人次'!$A$1:$M$59</definedName>
    <definedName name="_xlnm.Print_Area" localSheetId="1">'表1土地與人口'!$A$1:$L$107</definedName>
    <definedName name="_xlnm.Print_Area" localSheetId="20">'表20漁業'!$A$1:$K$81</definedName>
    <definedName name="_xlnm.Print_Area" localSheetId="21">'表21教育'!$A$1:$K$73</definedName>
    <definedName name="_xlnm.Print_Area" localSheetId="22">'表22物價'!$A$1:$H$53</definedName>
    <definedName name="_xlnm.Print_Area" localSheetId="2">'表2人口動態'!$A$1:$L$241</definedName>
    <definedName name="_xlnm.Print_Area" localSheetId="3">'表3各鄉鎮土地與人口'!$A$1:$L$39</definedName>
    <definedName name="_xlnm.Print_Area" localSheetId="4">'表4各鄉鎮市人口趨勢'!$A$1:$I$195</definedName>
    <definedName name="_xlnm.Print_Area" localSheetId="5">'表5勞動力與就業'!$A$1:$J$123,'表5勞動力與就業'!$K$124:$S$197</definedName>
    <definedName name="_xlnm.Print_Area" localSheetId="6">'表6稅捐徵收'!$A$1:$L$116</definedName>
    <definedName name="_xlnm.Print_Area" localSheetId="7">'表7營利事業銷售額'!$A$1:$BA$30</definedName>
    <definedName name="_xlnm.Print_Area" localSheetId="8">'表8環境保護'!$A$1:$N$145,'表8環境保護'!$P$146:$X$250</definedName>
    <definedName name="_xlnm.Print_Area" localSheetId="9">'表9社會福利'!$A$1:$I$147,'表9社會福利'!$J$44:$S$147</definedName>
    <definedName name="_xlnm.Print_Area">'/tmp/tmpdqqdiufr\蘇茂勝\專題分析\九十年臺南縣人口結構與特性之分析\[人口表圖90C.xls]5-1參考'!#REF!</definedName>
    <definedName name="PRINT_AREA_MI" localSheetId="9">'[25]5-1參考'!#REF!</definedName>
    <definedName name="PRINT_AREA_MI">'[6]5-1參考'!#REF!</definedName>
    <definedName name="表8" localSheetId="20" hidden="1">{"'t-28.1'!$A$3:$H$84","'t-28.2'!$B$2:$K$83","'t-28.3 '!$A$3:$H$84","'t-28.4 '!$B$2:$I$83"}</definedName>
    <definedName name="表8" localSheetId="21" hidden="1">{"'t-28.1'!$A$3:$H$84","'t-28.2'!$B$2:$K$83","'t-28.3 '!$A$3:$H$84","'t-28.4 '!$B$2:$I$83"}</definedName>
    <definedName name="表8" localSheetId="2" hidden="1">{"'t-28.1'!$A$3:$H$84","'t-28.2'!$B$2:$K$83","'t-28.3 '!$A$3:$H$84","'t-28.4 '!$B$2:$I$83"}</definedName>
    <definedName name="表8" localSheetId="9" hidden="1">{"'t-28.1'!$A$3:$H$84","'t-28.2'!$B$2:$K$83","'t-28.3 '!$A$3:$H$84","'t-28.4 '!$B$2:$I$83"}</definedName>
    <definedName name="表8" hidden="1">{"'t-28.1'!$A$3:$H$84","'t-28.2'!$B$2:$K$83","'t-28.3 '!$A$3:$H$84","'t-28.4 '!$B$2:$I$83"}</definedName>
    <definedName name="表9" localSheetId="20" hidden="1">{"'t-28.1'!$A$3:$H$84","'t-28.2'!$B$2:$K$83","'t-28.3 '!$A$3:$H$84","'t-28.4 '!$B$2:$I$83"}</definedName>
    <definedName name="表9" localSheetId="21" hidden="1">{"'t-28.1'!$A$3:$H$84","'t-28.2'!$B$2:$K$83","'t-28.3 '!$A$3:$H$84","'t-28.4 '!$B$2:$I$83"}</definedName>
    <definedName name="表9" localSheetId="2" hidden="1">{"'t-28.1'!$A$3:$H$84","'t-28.2'!$B$2:$K$83","'t-28.3 '!$A$3:$H$84","'t-28.4 '!$B$2:$I$83"}</definedName>
    <definedName name="表9" localSheetId="9" hidden="1">{"'t-28.1'!$A$3:$H$84","'t-28.2'!$B$2:$K$83","'t-28.3 '!$A$3:$H$84","'t-28.4 '!$B$2:$I$83"}</definedName>
    <definedName name="表9" hidden="1">{"'t-28.1'!$A$3:$H$84","'t-28.2'!$B$2:$K$83","'t-28.3 '!$A$3:$H$84","'t-28.4 '!$B$2:$I$83"}</definedName>
    <definedName name="倉庫" localSheetId="9">#REF!</definedName>
    <definedName name="倉庫">#REF!</definedName>
    <definedName name="獨居老人2" localSheetId="9">'[29]5-1參考'!#REF!</definedName>
    <definedName name="獨居老人2">'[11]5-1參考'!#REF!</definedName>
  </definedNames>
  <calcPr fullCalcOnLoad="1"/>
</workbook>
</file>

<file path=xl/comments12.xml><?xml version="1.0" encoding="utf-8"?>
<comments xmlns="http://schemas.openxmlformats.org/spreadsheetml/2006/main">
  <authors>
    <author>BL</author>
  </authors>
  <commentList>
    <comment ref="AF23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  <comment ref="AG23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警察局8月核對統計季報第六期表示:
原1月份報表有更正
並將於近日內來府更正</t>
        </r>
      </text>
    </comment>
  </commentList>
</comments>
</file>

<file path=xl/comments18.xml><?xml version="1.0" encoding="utf-8"?>
<comments xmlns="http://schemas.openxmlformats.org/spreadsheetml/2006/main">
  <authors>
    <author>BL</author>
  </authors>
  <commentList>
    <comment ref="N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O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一至三月合計數</t>
        </r>
      </text>
    </comment>
    <comment ref="M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Q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  <comment ref="R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三月底資料</t>
        </r>
      </text>
    </comment>
  </commentList>
</comments>
</file>

<file path=xl/sharedStrings.xml><?xml version="1.0" encoding="utf-8"?>
<sst xmlns="http://schemas.openxmlformats.org/spreadsheetml/2006/main" count="3027" uniqueCount="1426">
  <si>
    <r>
      <t xml:space="preserve">住宅
</t>
    </r>
    <r>
      <rPr>
        <sz val="8"/>
        <rFont val="Times New Roman"/>
        <family val="1"/>
      </rPr>
      <t>Residential District</t>
    </r>
  </si>
  <si>
    <r>
      <t xml:space="preserve">都市計畫區域內
</t>
    </r>
    <r>
      <rPr>
        <sz val="10"/>
        <rFont val="Times New Roman"/>
        <family val="1"/>
      </rPr>
      <t>Within District</t>
    </r>
  </si>
  <si>
    <r>
      <t>都市計畫區域內及房屋使用分區別</t>
    </r>
    <r>
      <rPr>
        <sz val="11"/>
        <rFont val="Times New Roman"/>
        <family val="1"/>
      </rPr>
      <t xml:space="preserve">                 
By City Planning District and the Use of House</t>
    </r>
  </si>
  <si>
    <r>
      <t xml:space="preserve">都市計畫區域外
</t>
    </r>
    <r>
      <rPr>
        <sz val="10"/>
        <rFont val="Times New Roman"/>
        <family val="1"/>
      </rPr>
      <t>Beyond District</t>
    </r>
  </si>
  <si>
    <r>
      <t xml:space="preserve">住宅
</t>
    </r>
    <r>
      <rPr>
        <sz val="8"/>
        <rFont val="Times New Roman"/>
        <family val="1"/>
      </rPr>
      <t>Residential District</t>
    </r>
  </si>
  <si>
    <r>
      <t>經常門資本門總計</t>
    </r>
    <r>
      <rPr>
        <sz val="12"/>
        <rFont val="Times New Roman"/>
        <family val="1"/>
      </rPr>
      <t xml:space="preserve">        
Grand Total</t>
    </r>
  </si>
  <si>
    <t>Electricity, Gas &amp; Water</t>
  </si>
  <si>
    <t>累計</t>
  </si>
  <si>
    <t>年季別</t>
  </si>
  <si>
    <t>Year &amp; Quarter</t>
  </si>
  <si>
    <r>
      <t xml:space="preserve">年季底別
</t>
    </r>
    <r>
      <rPr>
        <sz val="12"/>
        <rFont val="Times New Roman"/>
        <family val="1"/>
      </rPr>
      <t>End of Year &amp; Quarter</t>
    </r>
  </si>
  <si>
    <r>
      <t xml:space="preserve">年別
</t>
    </r>
    <r>
      <rPr>
        <sz val="12"/>
        <rFont val="Times New Roman"/>
        <family val="1"/>
      </rPr>
      <t>Year</t>
    </r>
  </si>
  <si>
    <r>
      <t xml:space="preserve">年與期間別
</t>
    </r>
    <r>
      <rPr>
        <sz val="12"/>
        <rFont val="Times New Roman"/>
        <family val="1"/>
      </rPr>
      <t>Year &amp; Period</t>
    </r>
  </si>
  <si>
    <r>
      <t>第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季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</si>
  <si>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</si>
  <si>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</si>
  <si>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1-2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Jan.-Feb.</t>
    </r>
  </si>
  <si>
    <r>
      <t>3-4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Mar.-Apr.</t>
    </r>
  </si>
  <si>
    <r>
      <t>5-8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May-Aug.</t>
    </r>
  </si>
  <si>
    <r>
      <t>9-12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Sep.-Dec.</t>
    </r>
  </si>
  <si>
    <t>Agriculture, Forestry, Fishery &amp; Animal Husbandry</t>
  </si>
  <si>
    <t>總　　　計</t>
  </si>
  <si>
    <r>
      <t>農、林、漁、牧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</si>
  <si>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t>礦業及土石採取業</t>
  </si>
  <si>
    <t>製造業</t>
  </si>
  <si>
    <t>水電燃氣業</t>
  </si>
  <si>
    <t>營造業</t>
  </si>
  <si>
    <t>批發零售業</t>
  </si>
  <si>
    <t>住宿及餐飲業</t>
  </si>
  <si>
    <t>運輸、倉儲
及通信業</t>
  </si>
  <si>
    <t>金融及保險業</t>
  </si>
  <si>
    <t>不動產及租賃業</t>
  </si>
  <si>
    <t>專業、科學及技術服務業</t>
  </si>
  <si>
    <t>教育服務業</t>
  </si>
  <si>
    <t>醫療保健及社會福利服務業</t>
  </si>
  <si>
    <t>文化、運動及休閒服務業</t>
  </si>
  <si>
    <t>其他服務業</t>
  </si>
  <si>
    <t>公共行政業</t>
  </si>
  <si>
    <t>其他</t>
  </si>
  <si>
    <t>總　　　計</t>
  </si>
  <si>
    <r>
      <t>農、林、漁、牧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業</t>
    </r>
  </si>
  <si>
    <t>礦業及土石採取業</t>
  </si>
  <si>
    <t>製造業</t>
  </si>
  <si>
    <t>燃氣供應業</t>
  </si>
  <si>
    <t>污染整治業</t>
  </si>
  <si>
    <t>營造業</t>
  </si>
  <si>
    <t>批發零售業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</si>
  <si>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</si>
  <si>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</si>
  <si>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</si>
  <si>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</si>
  <si>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</si>
  <si>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</si>
  <si>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</si>
  <si>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教育服務業</t>
  </si>
  <si>
    <t>醫療保健及社會工作服務業</t>
  </si>
  <si>
    <t>藝術、娛樂及休閒服務業</t>
  </si>
  <si>
    <t>其他服務業</t>
  </si>
  <si>
    <t>其他</t>
  </si>
  <si>
    <t>~13~</t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</si>
  <si>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</si>
  <si>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</si>
  <si>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</si>
  <si>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</si>
  <si>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</si>
  <si>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t>Mining &amp; Quarrying</t>
  </si>
  <si>
    <t>Construction</t>
  </si>
  <si>
    <t>Trade</t>
  </si>
  <si>
    <t>Lodging &amp; Eating-Drinking Places</t>
  </si>
  <si>
    <t>Transport, Storage 
&amp; Communication</t>
  </si>
  <si>
    <t>Financing &amp; Insurance</t>
  </si>
  <si>
    <t>Real Estate &amp; Leasing</t>
  </si>
  <si>
    <t>Professional, Scientific &amp; Technical Services</t>
  </si>
  <si>
    <t>Education Services</t>
  </si>
  <si>
    <t>Health Care &amp; Social Welfare Services</t>
  </si>
  <si>
    <t>Cultural, Sporting &amp; Recreational Services</t>
  </si>
  <si>
    <t>Other Services</t>
  </si>
  <si>
    <t>Public Administration</t>
  </si>
  <si>
    <t>Others</t>
  </si>
  <si>
    <t>Agriculture, Forestry, Fishery &amp; Animal Husbandry</t>
  </si>
  <si>
    <t>Mining &amp; Quarrying</t>
  </si>
  <si>
    <t>Gas</t>
  </si>
  <si>
    <t>Pollution Renovating</t>
  </si>
  <si>
    <t>Trade</t>
  </si>
  <si>
    <t>Transport &amp; Storage</t>
  </si>
  <si>
    <t>Lodging &amp; Eating-Drinking Places</t>
  </si>
  <si>
    <t>Information &amp; Communication</t>
  </si>
  <si>
    <t>Financing &amp; Insurance</t>
  </si>
  <si>
    <t>Real Estate</t>
  </si>
  <si>
    <t>Professional, Scientific &amp; Technical Services</t>
  </si>
  <si>
    <t>Support Services</t>
  </si>
  <si>
    <t>Education Services</t>
  </si>
  <si>
    <r>
      <t>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</si>
  <si>
    <t>Health Care &amp; Social Work Services</t>
  </si>
  <si>
    <t>Art, Entertainment &amp; Recreational Services</t>
  </si>
  <si>
    <t>Other Services</t>
  </si>
  <si>
    <t>Others</t>
  </si>
  <si>
    <r>
      <t>表</t>
    </r>
    <r>
      <rPr>
        <sz val="16"/>
        <rFont val="Times New Roman"/>
        <family val="1"/>
      </rPr>
      <t xml:space="preserve">7. </t>
    </r>
    <r>
      <rPr>
        <sz val="16"/>
        <rFont val="標楷體"/>
        <family val="4"/>
      </rPr>
      <t>營利事業銷售額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
Table 7. Sales Amounts(Cont.)</t>
    </r>
  </si>
  <si>
    <r>
      <t>表</t>
    </r>
    <r>
      <rPr>
        <sz val="16"/>
        <rFont val="Times New Roman"/>
        <family val="1"/>
      </rPr>
      <t xml:space="preserve">7. </t>
    </r>
    <r>
      <rPr>
        <sz val="16"/>
        <rFont val="標楷體"/>
        <family val="4"/>
      </rPr>
      <t>營利事業銷售額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
Table 7. Sales Amounts(Cont.End)</t>
    </r>
  </si>
  <si>
    <t>~16~</t>
  </si>
  <si>
    <t>銷售額</t>
  </si>
  <si>
    <t>92年度</t>
  </si>
  <si>
    <t>93年度</t>
  </si>
  <si>
    <t>94年度</t>
  </si>
  <si>
    <t>95年度</t>
  </si>
  <si>
    <t>96年度</t>
  </si>
  <si>
    <t>97年度</t>
  </si>
  <si>
    <t>98年度</t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</si>
  <si>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4th Qua.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</si>
  <si>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4th Qua.</t>
    </r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</si>
  <si>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4th Qua.</t>
    </r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</si>
  <si>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4th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</si>
  <si>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</si>
  <si>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</si>
  <si>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經常門合計</t>
    </r>
    <r>
      <rPr>
        <sz val="12"/>
        <rFont val="Times New Roman"/>
        <family val="1"/>
      </rPr>
      <t xml:space="preserve">                     
Current Total</t>
    </r>
  </si>
  <si>
    <r>
      <t>資本門合計</t>
    </r>
    <r>
      <rPr>
        <sz val="12"/>
        <rFont val="Times New Roman"/>
        <family val="1"/>
      </rPr>
      <t xml:space="preserve">                             
Capital Total</t>
    </r>
  </si>
  <si>
    <r>
      <t>稅課收入</t>
    </r>
    <r>
      <rPr>
        <sz val="10"/>
        <rFont val="Times New Roman"/>
        <family val="1"/>
      </rPr>
      <t xml:space="preserve">                         
Receipts from Taxes</t>
    </r>
  </si>
  <si>
    <r>
      <t>罰款及賠償收入</t>
    </r>
    <r>
      <rPr>
        <sz val="10"/>
        <rFont val="Times New Roman"/>
        <family val="1"/>
      </rPr>
      <t xml:space="preserve">               
Receipts from Charges on Benefits of Public Construction</t>
    </r>
  </si>
  <si>
    <r>
      <t>規費收入</t>
    </r>
    <r>
      <rPr>
        <sz val="10"/>
        <rFont val="Times New Roman"/>
        <family val="1"/>
      </rPr>
      <t xml:space="preserve">                       
Receipts from Fees</t>
    </r>
  </si>
  <si>
    <r>
      <t>財產收入</t>
    </r>
    <r>
      <rPr>
        <sz val="10"/>
        <rFont val="Times New Roman"/>
        <family val="1"/>
      </rPr>
      <t xml:space="preserve">                   
Receipts from Property</t>
    </r>
  </si>
  <si>
    <r>
      <t xml:space="preserve">營業盈餘及事業收入
</t>
    </r>
    <r>
      <rPr>
        <sz val="10"/>
        <rFont val="Times New Roman"/>
        <family val="1"/>
      </rPr>
      <t>Profits of Public Business &amp; Enterprises</t>
    </r>
  </si>
  <si>
    <r>
      <t>補助及協助收入</t>
    </r>
    <r>
      <rPr>
        <sz val="10"/>
        <rFont val="Times New Roman"/>
        <family val="1"/>
      </rPr>
      <t xml:space="preserve">      
Subsidies</t>
    </r>
  </si>
  <si>
    <r>
      <t>其他收入</t>
    </r>
    <r>
      <rPr>
        <sz val="10"/>
        <rFont val="Times New Roman"/>
        <family val="1"/>
      </rPr>
      <t xml:space="preserve">                               
Other Receipts</t>
    </r>
  </si>
  <si>
    <r>
      <t>財產收入</t>
    </r>
    <r>
      <rPr>
        <sz val="10"/>
        <rFont val="Times New Roman"/>
        <family val="1"/>
      </rPr>
      <t xml:space="preserve">                   
Receipts from Property</t>
    </r>
  </si>
  <si>
    <t>…</t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</si>
  <si>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1990</t>
    </r>
  </si>
  <si>
    <r>
      <t>第二季</t>
    </r>
    <r>
      <rPr>
        <sz val="10"/>
        <rFont val="Times New Roman"/>
        <family val="1"/>
      </rPr>
      <t xml:space="preserve">                      2nd Qua.</t>
    </r>
  </si>
  <si>
    <r>
      <t>第三季</t>
    </r>
    <r>
      <rPr>
        <sz val="10"/>
        <rFont val="Times New Roman"/>
        <family val="1"/>
      </rPr>
      <t xml:space="preserve">                       3rd Qua.</t>
    </r>
  </si>
  <si>
    <r>
      <t>第四季</t>
    </r>
    <r>
      <rPr>
        <sz val="10"/>
        <rFont val="Times New Roman"/>
        <family val="1"/>
      </rPr>
      <t xml:space="preserve">                         4th Qua.</t>
    </r>
  </si>
  <si>
    <r>
      <t>當季較上季增減</t>
    </r>
    <r>
      <rPr>
        <sz val="9"/>
        <rFont val="Times New Roman"/>
        <family val="1"/>
      </rPr>
      <t>%               VS. with Last Quarter</t>
    </r>
  </si>
  <si>
    <t>家數</t>
  </si>
  <si>
    <r>
      <t>當季較上年同季</t>
    </r>
    <r>
      <rPr>
        <sz val="9"/>
        <rFont val="Times New Roman"/>
        <family val="1"/>
      </rPr>
      <t xml:space="preserve">                  </t>
    </r>
    <r>
      <rPr>
        <sz val="9"/>
        <rFont val="標楷體"/>
        <family val="4"/>
      </rPr>
      <t>增減</t>
    </r>
    <r>
      <rPr>
        <sz val="9"/>
        <rFont val="Times New Roman"/>
        <family val="1"/>
      </rPr>
      <t>%                             VS. with Last Year</t>
    </r>
  </si>
  <si>
    <t>資料來源：經濟部工業局、本府工商旅遊處</t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</si>
  <si>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註：</t>
    </r>
    <r>
      <rPr>
        <sz val="12"/>
        <rFont val="Times New Roman"/>
        <family val="1"/>
      </rPr>
      <t>1.93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月起調整異動家數係配合經濟部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日經商字第</t>
    </r>
    <r>
      <rPr>
        <sz val="12"/>
        <rFont val="Times New Roman"/>
        <family val="1"/>
      </rPr>
      <t xml:space="preserve">0910224969-0           </t>
    </r>
  </si>
  <si>
    <r>
      <t xml:space="preserve">                2.90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月調整異動家數係配合釐正商業單位之行號家數統計資料之一致性，</t>
    </r>
    <r>
      <rPr>
        <sz val="12"/>
        <rFont val="Times New Roman"/>
        <family val="1"/>
      </rPr>
      <t xml:space="preserve">     </t>
    </r>
  </si>
  <si>
    <r>
      <t xml:space="preserve">單位：家、千元
</t>
    </r>
    <r>
      <rPr>
        <sz val="10"/>
        <rFont val="Times New Roman"/>
        <family val="1"/>
      </rP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No.,NT$1,000</t>
    </r>
  </si>
  <si>
    <r>
      <t xml:space="preserve">創設家數
</t>
    </r>
    <r>
      <rPr>
        <sz val="12"/>
        <rFont val="Times New Roman"/>
        <family val="1"/>
      </rPr>
      <t>Beginning Business Activity</t>
    </r>
  </si>
  <si>
    <r>
      <t>撤銷家數</t>
    </r>
    <r>
      <rPr>
        <sz val="12"/>
        <rFont val="Times New Roman"/>
        <family val="1"/>
      </rPr>
      <t xml:space="preserve">          
Ending Business Activity</t>
    </r>
  </si>
  <si>
    <r>
      <t>現有家數</t>
    </r>
    <r>
      <rPr>
        <sz val="12"/>
        <rFont val="Times New Roman"/>
        <family val="1"/>
      </rPr>
      <t xml:space="preserve">             Number</t>
    </r>
  </si>
  <si>
    <r>
      <t>現有資本額</t>
    </r>
    <r>
      <rPr>
        <sz val="12"/>
        <rFont val="Times New Roman"/>
        <family val="1"/>
      </rPr>
      <t xml:space="preserve">               Capital</t>
    </r>
  </si>
  <si>
    <r>
      <t xml:space="preserve">歇業
</t>
    </r>
    <r>
      <rPr>
        <sz val="12"/>
        <rFont val="Times New Roman"/>
        <family val="1"/>
      </rPr>
      <t>Shut Down</t>
    </r>
  </si>
  <si>
    <r>
      <t xml:space="preserve">其它
</t>
    </r>
    <r>
      <rPr>
        <sz val="12"/>
        <rFont val="Times New Roman"/>
        <family val="1"/>
      </rPr>
      <t>Others</t>
    </r>
  </si>
  <si>
    <r>
      <t xml:space="preserve">                   </t>
    </r>
    <r>
      <rPr>
        <sz val="12"/>
        <rFont val="標楷體"/>
        <family val="4"/>
      </rPr>
      <t>號函釐正商業單位之行號家數統計資料之一致性，進行公告註銷調整異動。</t>
    </r>
  </si>
  <si>
    <r>
      <t xml:space="preserve">                   </t>
    </r>
    <r>
      <rPr>
        <sz val="12"/>
        <rFont val="標楷體"/>
        <family val="4"/>
      </rPr>
      <t>進行公告註銷調整異動。</t>
    </r>
    <r>
      <rPr>
        <sz val="12"/>
        <rFont val="Times New Roman"/>
        <family val="1"/>
      </rPr>
      <t xml:space="preserve">    </t>
    </r>
  </si>
  <si>
    <r>
      <t>98</t>
    </r>
    <r>
      <rPr>
        <sz val="12"/>
        <rFont val="細明體"/>
        <family val="3"/>
      </rPr>
      <t>年</t>
    </r>
  </si>
  <si>
    <t>二十、漁業概況</t>
  </si>
  <si>
    <t>1.動力漁船數：
本縣99年第4季動力漁船為1,047艘計43,385噸，較上季增加5艘計0.48%；與去年同季比較減少1.04%。後者則較上季增加1,188噸計2.82%；與去年同季比較增加1.23%。
2.漁業產量：
本縣99年第4季漁業產量為18,047噸，較上季減少18,627噸計-50.79%，與去年同季比較減少19.63%。</t>
  </si>
  <si>
    <r>
      <t xml:space="preserve"> </t>
    </r>
  </si>
  <si>
    <r>
      <t xml:space="preserve">   </t>
    </r>
  </si>
  <si>
    <t xml:space="preserve">   </t>
  </si>
  <si>
    <t>~43~</t>
  </si>
  <si>
    <r>
      <t>表20</t>
    </r>
    <r>
      <rPr>
        <sz val="16"/>
        <rFont val="Times New Roman"/>
        <family val="1"/>
      </rPr>
      <t xml:space="preserve">. </t>
    </r>
    <r>
      <rPr>
        <sz val="16"/>
        <rFont val="標楷體"/>
        <family val="4"/>
      </rPr>
      <t>漁業概況</t>
    </r>
  </si>
  <si>
    <t>Table 20. The Condition of Fishery</t>
  </si>
  <si>
    <t>年季底別</t>
  </si>
  <si>
    <r>
      <t xml:space="preserve"> </t>
    </r>
    <r>
      <rPr>
        <sz val="12"/>
        <rFont val="標楷體"/>
        <family val="4"/>
      </rPr>
      <t>動力漁船數</t>
    </r>
  </si>
  <si>
    <r>
      <t>漁業生產量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公噸</t>
    </r>
    <r>
      <rPr>
        <sz val="12"/>
        <rFont val="Times New Roman"/>
        <family val="1"/>
      </rPr>
      <t>)</t>
    </r>
  </si>
  <si>
    <t>The  Number  of  Powered  Fishing  Crafts</t>
  </si>
  <si>
    <r>
      <t>Fishery  Production (Unit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Metric Ton)</t>
    </r>
  </si>
  <si>
    <t>End of Year &amp; Quarter</t>
  </si>
  <si>
    <t>艘　　數</t>
  </si>
  <si>
    <t>噸　　數</t>
  </si>
  <si>
    <t>合　　計</t>
  </si>
  <si>
    <t>遠洋漁業</t>
  </si>
  <si>
    <t>近海漁業</t>
  </si>
  <si>
    <t>沿岸漁業</t>
  </si>
  <si>
    <t>養殖漁業</t>
  </si>
  <si>
    <t>內陸漁撈</t>
  </si>
  <si>
    <t>Far-Sea  Fisheries</t>
  </si>
  <si>
    <t>Offshore  Fisheries</t>
  </si>
  <si>
    <t>Coastal  Fisheries</t>
  </si>
  <si>
    <t>Inland Water 
Aquaculture</t>
  </si>
  <si>
    <t>Inland  Fishery</t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</si>
  <si>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</si>
  <si>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</si>
  <si>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</si>
  <si>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</si>
  <si>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</si>
  <si>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</si>
  <si>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</si>
  <si>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</si>
  <si>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</si>
  <si>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</si>
  <si>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1st Qua.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</si>
  <si>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2st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</si>
  <si>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3st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</si>
  <si>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</si>
  <si>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</si>
  <si>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</si>
  <si>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3rd Qua.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</si>
  <si>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</si>
  <si>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r>
      <t>當季較上
季增減</t>
    </r>
    <r>
      <rPr>
        <sz val="8"/>
        <rFont val="Times New Roman"/>
        <family val="1"/>
      </rPr>
      <t>%
VS. with Last Quarter</t>
    </r>
  </si>
  <si>
    <r>
      <t>當季較上年
同季增減</t>
    </r>
    <r>
      <rPr>
        <sz val="8"/>
        <rFont val="Times New Roman"/>
        <family val="1"/>
      </rPr>
      <t>%
VS. with Last Year</t>
    </r>
  </si>
  <si>
    <r>
      <t>資料來源：本府農業處：</t>
    </r>
    <r>
      <rPr>
        <sz val="11"/>
        <rFont val="Times New Roman"/>
        <family val="1"/>
      </rPr>
      <t>2243-03-05-2</t>
    </r>
    <r>
      <rPr>
        <sz val="11"/>
        <rFont val="標楷體"/>
        <family val="4"/>
      </rPr>
      <t>，</t>
    </r>
    <r>
      <rPr>
        <sz val="11"/>
        <rFont val="Times New Roman"/>
        <family val="1"/>
      </rPr>
      <t>2241-02-02-2</t>
    </r>
    <r>
      <rPr>
        <sz val="11"/>
        <rFont val="標楷體"/>
        <family val="4"/>
      </rPr>
      <t>。</t>
    </r>
  </si>
  <si>
    <t>~44~</t>
  </si>
  <si>
    <t>年季月別</t>
  </si>
  <si>
    <t>漁業產量</t>
  </si>
  <si>
    <t>動力漁船艘數</t>
  </si>
  <si>
    <t>動力漁船噸數</t>
  </si>
  <si>
    <t>噸數</t>
  </si>
  <si>
    <t xml:space="preserve">    第4季</t>
  </si>
  <si>
    <r>
      <t>99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</si>
  <si>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</si>
  <si>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 xml:space="preserve">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</si>
  <si>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t>十九、觀光遊憩區遊客人次</t>
  </si>
  <si>
    <t>資料來源：本府工商旅遊處</t>
  </si>
  <si>
    <r>
      <t>年季別</t>
    </r>
    <r>
      <rPr>
        <sz val="11"/>
        <rFont val="Times New Roman"/>
        <family val="1"/>
      </rPr>
      <t xml:space="preserve">          Year &amp; Quarter</t>
    </r>
  </si>
  <si>
    <r>
      <t>總計</t>
    </r>
    <r>
      <rPr>
        <sz val="11"/>
        <rFont val="Times New Roman"/>
        <family val="1"/>
      </rPr>
      <t xml:space="preserve">         Total</t>
    </r>
  </si>
  <si>
    <r>
      <t>冬山河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親水公園</t>
    </r>
    <r>
      <rPr>
        <sz val="11"/>
        <rFont val="Times New Roman"/>
        <family val="1"/>
      </rPr>
      <t>Dongshan River Park</t>
    </r>
  </si>
  <si>
    <r>
      <t>大湖</t>
    </r>
    <r>
      <rPr>
        <sz val="11"/>
        <rFont val="Times New Roman"/>
        <family val="1"/>
      </rPr>
      <t xml:space="preserve">             Dahu</t>
    </r>
  </si>
  <si>
    <r>
      <t>五峰旗</t>
    </r>
    <r>
      <rPr>
        <sz val="11"/>
        <rFont val="Times New Roman"/>
        <family val="1"/>
      </rPr>
      <t>Wufongci</t>
    </r>
  </si>
  <si>
    <r>
      <t>梅花湖</t>
    </r>
    <r>
      <rPr>
        <sz val="11"/>
        <rFont val="Times New Roman"/>
        <family val="1"/>
      </rPr>
      <t xml:space="preserve">   Plum Blossom Lake</t>
    </r>
  </si>
  <si>
    <r>
      <t>龍潭湖</t>
    </r>
    <r>
      <rPr>
        <sz val="11"/>
        <rFont val="Times New Roman"/>
        <family val="1"/>
      </rPr>
      <t>Longtan Lake</t>
    </r>
  </si>
  <si>
    <r>
      <t>蘇澳冷泉</t>
    </r>
    <r>
      <rPr>
        <sz val="11"/>
        <rFont val="Times New Roman"/>
        <family val="1"/>
      </rPr>
      <t xml:space="preserve">       Su-ao Cold Spring</t>
    </r>
  </si>
  <si>
    <r>
      <t>頭城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海水浴場</t>
    </r>
    <r>
      <rPr>
        <sz val="11"/>
        <rFont val="Times New Roman"/>
        <family val="1"/>
      </rPr>
      <t xml:space="preserve">        Toucheng Beach</t>
    </r>
  </si>
  <si>
    <t>90年</t>
  </si>
  <si>
    <t>龍潭湖</t>
  </si>
  <si>
    <t>梅花湖</t>
  </si>
  <si>
    <t>五峰旗</t>
  </si>
  <si>
    <r>
      <t>年季底別</t>
    </r>
    <r>
      <rPr>
        <sz val="12"/>
        <rFont val="Times New Roman"/>
        <family val="1"/>
      </rPr>
      <t xml:space="preserve">               End of Year &amp; Quarter</t>
    </r>
  </si>
  <si>
    <r>
      <t xml:space="preserve">商業登記數
</t>
    </r>
    <r>
      <rPr>
        <sz val="12"/>
        <rFont val="Times New Roman"/>
        <family val="1"/>
      </rPr>
      <t>Number of Commerce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</si>
  <si>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</si>
  <si>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t>使用牌照稅</t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</si>
  <si>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</si>
  <si>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>99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1</t>
    </r>
    <r>
      <rPr>
        <sz val="14"/>
        <rFont val="細明體"/>
        <family val="3"/>
      </rPr>
      <t>季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</si>
  <si>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</si>
  <si>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t>99年第1季</t>
  </si>
  <si>
    <r>
      <t>99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季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</si>
  <si>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</si>
  <si>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t>土地增值稅</t>
  </si>
  <si>
    <r>
      <t>第</t>
    </r>
    <r>
      <rPr>
        <sz val="14"/>
        <rFont val="Times New Roman"/>
        <family val="1"/>
      </rPr>
      <t>3</t>
    </r>
    <r>
      <rPr>
        <sz val="14"/>
        <rFont val="細明體"/>
        <family val="3"/>
      </rPr>
      <t>季</t>
    </r>
  </si>
  <si>
    <t>機車(右標)</t>
  </si>
  <si>
    <r>
      <t>99</t>
    </r>
    <r>
      <rPr>
        <sz val="12"/>
        <rFont val="細明體"/>
        <family val="3"/>
      </rPr>
      <t>年度</t>
    </r>
  </si>
  <si>
    <t>91年</t>
  </si>
  <si>
    <t>92年</t>
  </si>
  <si>
    <t>93年</t>
  </si>
  <si>
    <t>94年</t>
  </si>
  <si>
    <t>95年</t>
  </si>
  <si>
    <t>99年</t>
  </si>
  <si>
    <r>
      <t>98</t>
    </r>
    <r>
      <rPr>
        <sz val="8"/>
        <rFont val="細明體"/>
        <family val="3"/>
      </rPr>
      <t>年第</t>
    </r>
    <r>
      <rPr>
        <sz val="8"/>
        <rFont val="Times New Roman"/>
        <family val="1"/>
      </rPr>
      <t>4</t>
    </r>
    <r>
      <rPr>
        <sz val="8"/>
        <rFont val="細明體"/>
        <family val="3"/>
      </rPr>
      <t>季</t>
    </r>
  </si>
  <si>
    <r>
      <t>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</si>
  <si>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季底機動車輛登記數為</t>
    </r>
    <r>
      <rPr>
        <sz val="14"/>
        <rFont val="Times New Roman"/>
        <family val="1"/>
      </rPr>
      <t>432,389</t>
    </r>
    <r>
      <rPr>
        <sz val="14"/>
        <rFont val="標楷體"/>
        <family val="4"/>
      </rPr>
      <t>輛，較上季增加</t>
    </r>
    <r>
      <rPr>
        <sz val="14"/>
        <rFont val="Times New Roman"/>
        <family val="1"/>
      </rPr>
      <t>1,178</t>
    </r>
    <r>
      <rPr>
        <sz val="14"/>
        <rFont val="標楷體"/>
        <family val="4"/>
      </rPr>
      <t>輛計</t>
    </r>
    <r>
      <rPr>
        <sz val="14"/>
        <rFont val="Times New Roman"/>
        <family val="1"/>
      </rPr>
      <t>0.27%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0.93%</t>
    </r>
    <r>
      <rPr>
        <sz val="14"/>
        <rFont val="標楷體"/>
        <family val="4"/>
      </rPr>
      <t>；其中汽車</t>
    </r>
    <r>
      <rPr>
        <sz val="14"/>
        <rFont val="Times New Roman"/>
        <family val="1"/>
      </rPr>
      <t>137,161</t>
    </r>
    <r>
      <rPr>
        <sz val="14"/>
        <rFont val="標楷體"/>
        <family val="4"/>
      </rPr>
      <t>輛，較上季增加</t>
    </r>
    <r>
      <rPr>
        <sz val="14"/>
        <rFont val="Times New Roman"/>
        <family val="1"/>
      </rPr>
      <t>635</t>
    </r>
    <r>
      <rPr>
        <sz val="14"/>
        <rFont val="標楷體"/>
        <family val="4"/>
      </rPr>
      <t>輛計</t>
    </r>
    <r>
      <rPr>
        <sz val="14"/>
        <rFont val="Times New Roman"/>
        <family val="1"/>
      </rPr>
      <t>0.47%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1.19%</t>
    </r>
    <r>
      <rPr>
        <sz val="14"/>
        <rFont val="標楷體"/>
        <family val="4"/>
      </rPr>
      <t>；並以小客車</t>
    </r>
    <r>
      <rPr>
        <sz val="14"/>
        <rFont val="Times New Roman"/>
        <family val="1"/>
      </rPr>
      <t>113,263</t>
    </r>
    <r>
      <rPr>
        <sz val="14"/>
        <rFont val="標楷體"/>
        <family val="4"/>
      </rPr>
      <t>輛占最多數為</t>
    </r>
    <r>
      <rPr>
        <sz val="14"/>
        <rFont val="Times New Roman"/>
        <family val="1"/>
      </rPr>
      <t>82.58%</t>
    </r>
    <r>
      <rPr>
        <sz val="14"/>
        <rFont val="標楷體"/>
        <family val="4"/>
      </rPr>
      <t>；機車為</t>
    </r>
    <r>
      <rPr>
        <sz val="14"/>
        <rFont val="Times New Roman"/>
        <family val="1"/>
      </rPr>
      <t>295,228</t>
    </r>
    <r>
      <rPr>
        <sz val="14"/>
        <rFont val="標楷體"/>
        <family val="4"/>
      </rPr>
      <t>輛，較上季增加</t>
    </r>
    <r>
      <rPr>
        <sz val="14"/>
        <rFont val="Times New Roman"/>
        <family val="1"/>
      </rPr>
      <t>543</t>
    </r>
    <r>
      <rPr>
        <sz val="14"/>
        <rFont val="標楷體"/>
        <family val="4"/>
      </rPr>
      <t>輛計</t>
    </r>
    <r>
      <rPr>
        <sz val="14"/>
        <rFont val="Times New Roman"/>
        <family val="1"/>
      </rPr>
      <t>0.18%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0.80%</t>
    </r>
    <r>
      <rPr>
        <sz val="14"/>
        <rFont val="標楷體"/>
        <family val="4"/>
      </rPr>
      <t>。</t>
    </r>
  </si>
  <si>
    <t>98年第4季</t>
  </si>
  <si>
    <t>第4季</t>
  </si>
  <si>
    <r>
      <t>98</t>
    </r>
    <r>
      <rPr>
        <sz val="9"/>
        <rFont val="標楷體"/>
        <family val="4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</si>
  <si>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季</t>
    </r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</si>
  <si>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季共發生火災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次，平均每日發生</t>
    </r>
    <r>
      <rPr>
        <sz val="14"/>
        <rFont val="Times New Roman"/>
        <family val="1"/>
      </rPr>
      <t>0.13</t>
    </r>
    <r>
      <rPr>
        <sz val="14"/>
        <rFont val="標楷體"/>
        <family val="4"/>
      </rPr>
      <t>件，與上季比較增加</t>
    </r>
    <r>
      <rPr>
        <sz val="14"/>
        <rFont val="Times New Roman"/>
        <family val="1"/>
      </rPr>
      <t>33.33%</t>
    </r>
    <r>
      <rPr>
        <sz val="14"/>
        <rFont val="標楷體"/>
        <family val="4"/>
      </rPr>
      <t>，與去年同季比較則減少</t>
    </r>
    <r>
      <rPr>
        <sz val="14"/>
        <rFont val="Times New Roman"/>
        <family val="1"/>
      </rPr>
      <t>20.00%</t>
    </r>
    <r>
      <rPr>
        <sz val="14"/>
        <rFont val="標楷體"/>
        <family val="4"/>
      </rPr>
      <t>，本季死亡</t>
    </r>
    <r>
      <rPr>
        <sz val="14"/>
        <rFont val="Times New Roman"/>
        <family val="1"/>
      </rPr>
      <t>0</t>
    </r>
    <r>
      <rPr>
        <sz val="14"/>
        <rFont val="標楷體"/>
        <family val="4"/>
      </rPr>
      <t>人，受傷人數</t>
    </r>
    <r>
      <rPr>
        <sz val="14"/>
        <rFont val="Times New Roman"/>
        <family val="1"/>
      </rPr>
      <t>5</t>
    </r>
    <r>
      <rPr>
        <sz val="14"/>
        <rFont val="標楷體"/>
        <family val="4"/>
      </rPr>
      <t>人；財務損失</t>
    </r>
    <r>
      <rPr>
        <sz val="14"/>
        <rFont val="Times New Roman"/>
        <family val="1"/>
      </rPr>
      <t>1,513</t>
    </r>
    <r>
      <rPr>
        <sz val="14"/>
        <rFont val="標楷體"/>
        <family val="4"/>
      </rPr>
      <t>千元，較上季減少</t>
    </r>
    <r>
      <rPr>
        <sz val="14"/>
        <rFont val="Times New Roman"/>
        <family val="1"/>
      </rPr>
      <t>2,002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-56.96%</t>
    </r>
    <r>
      <rPr>
        <sz val="14"/>
        <rFont val="標楷體"/>
        <family val="4"/>
      </rPr>
      <t>，與去年同季比較則減少</t>
    </r>
    <r>
      <rPr>
        <sz val="14"/>
        <rFont val="Times New Roman"/>
        <family val="1"/>
      </rPr>
      <t>26.55%</t>
    </r>
    <r>
      <rPr>
        <sz val="14"/>
        <rFont val="標楷體"/>
        <family val="4"/>
      </rPr>
      <t>。</t>
    </r>
  </si>
  <si>
    <r>
      <t>1.</t>
    </r>
    <r>
      <rPr>
        <sz val="14"/>
        <rFont val="標楷體"/>
        <family val="4"/>
      </rPr>
      <t>工廠登記：
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季底工廠登記數為</t>
    </r>
    <r>
      <rPr>
        <sz val="14"/>
        <rFont val="Times New Roman"/>
        <family val="1"/>
      </rPr>
      <t>931</t>
    </r>
    <r>
      <rPr>
        <sz val="14"/>
        <rFont val="標楷體"/>
        <family val="4"/>
      </rPr>
      <t>家，較上季增加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家計</t>
    </r>
    <r>
      <rPr>
        <sz val="14"/>
        <rFont val="Times New Roman"/>
        <family val="1"/>
      </rPr>
      <t>0.43%</t>
    </r>
    <r>
      <rPr>
        <sz val="14"/>
        <rFont val="標楷體"/>
        <family val="4"/>
      </rPr>
      <t>，與去年同季比較則減少</t>
    </r>
    <r>
      <rPr>
        <sz val="14"/>
        <rFont val="Times New Roman"/>
        <family val="1"/>
      </rPr>
      <t>2.21%</t>
    </r>
    <r>
      <rPr>
        <sz val="14"/>
        <rFont val="標楷體"/>
        <family val="4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 xml:space="preserve">商業登記：
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季底本縣商業登記數為</t>
    </r>
    <r>
      <rPr>
        <sz val="14"/>
        <rFont val="Times New Roman"/>
        <family val="1"/>
      </rPr>
      <t>21,787</t>
    </r>
    <r>
      <rPr>
        <sz val="14"/>
        <rFont val="標楷體"/>
        <family val="4"/>
      </rPr>
      <t>家，較上季增加</t>
    </r>
    <r>
      <rPr>
        <sz val="14"/>
        <rFont val="Times New Roman"/>
        <family val="1"/>
      </rPr>
      <t>148</t>
    </r>
    <r>
      <rPr>
        <sz val="14"/>
        <rFont val="標楷體"/>
        <family val="4"/>
      </rPr>
      <t>家計</t>
    </r>
    <r>
      <rPr>
        <sz val="14"/>
        <rFont val="Times New Roman"/>
        <family val="1"/>
      </rPr>
      <t>0.68%</t>
    </r>
    <r>
      <rPr>
        <sz val="14"/>
        <rFont val="標楷體"/>
        <family val="4"/>
      </rPr>
      <t>，與去年同季比較增加</t>
    </r>
    <r>
      <rPr>
        <sz val="14"/>
        <rFont val="Times New Roman"/>
        <family val="1"/>
      </rPr>
      <t>1.94%</t>
    </r>
    <r>
      <rPr>
        <sz val="14"/>
        <rFont val="標楷體"/>
        <family val="4"/>
      </rPr>
      <t>；另截至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季底本縣商業登記資本額為</t>
    </r>
    <r>
      <rPr>
        <sz val="14"/>
        <rFont val="Times New Roman"/>
        <family val="1"/>
      </rPr>
      <t>4,204,992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34,461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0.83%</t>
    </r>
    <r>
      <rPr>
        <sz val="14"/>
        <rFont val="標楷體"/>
        <family val="4"/>
      </rPr>
      <t>，與去年同季比較則增加</t>
    </r>
    <r>
      <rPr>
        <sz val="14"/>
        <rFont val="Times New Roman"/>
        <family val="1"/>
      </rPr>
      <t>3.48%</t>
    </r>
    <r>
      <rPr>
        <sz val="14"/>
        <rFont val="標楷體"/>
        <family val="4"/>
      </rPr>
      <t>。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</si>
  <si>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</si>
  <si>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r>
      <t>98</t>
    </r>
    <r>
      <rPr>
        <sz val="12"/>
        <rFont val="細明體"/>
        <family val="3"/>
      </rPr>
      <t>年</t>
    </r>
    <r>
      <rPr>
        <sz val="12"/>
        <rFont val="細明體"/>
        <family val="3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</si>
  <si>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99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</si>
  <si>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</si>
  <si>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</si>
  <si>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季新增總樓板面積為</t>
    </r>
    <r>
      <rPr>
        <sz val="14"/>
        <rFont val="Times New Roman"/>
        <family val="1"/>
      </rPr>
      <t>86,333</t>
    </r>
    <r>
      <rPr>
        <sz val="14"/>
        <rFont val="標楷體"/>
        <family val="4"/>
      </rPr>
      <t>平方公尺，較上季減少</t>
    </r>
    <r>
      <rPr>
        <sz val="14"/>
        <rFont val="Times New Roman"/>
        <family val="1"/>
      </rPr>
      <t>28,568</t>
    </r>
    <r>
      <rPr>
        <sz val="14"/>
        <rFont val="標楷體"/>
        <family val="4"/>
      </rPr>
      <t>平方公尺計</t>
    </r>
    <r>
      <rPr>
        <sz val="14"/>
        <rFont val="Times New Roman"/>
        <family val="1"/>
      </rPr>
      <t>-24.86%</t>
    </r>
    <r>
      <rPr>
        <sz val="14"/>
        <rFont val="標楷體"/>
        <family val="4"/>
      </rPr>
      <t>，與去年同季比較減少</t>
    </r>
    <r>
      <rPr>
        <sz val="14"/>
        <rFont val="Times New Roman"/>
        <family val="1"/>
      </rPr>
      <t>41.44%</t>
    </r>
    <r>
      <rPr>
        <sz val="14"/>
        <rFont val="標楷體"/>
        <family val="4"/>
      </rPr>
      <t>；本季總樓板面積中，都市計畫區域內</t>
    </r>
    <r>
      <rPr>
        <sz val="14"/>
        <rFont val="Times New Roman"/>
        <family val="1"/>
      </rPr>
      <t>53,979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62.52%</t>
    </r>
    <r>
      <rPr>
        <sz val="14"/>
        <rFont val="標楷體"/>
        <family val="4"/>
      </rPr>
      <t>，都市計畫區域外</t>
    </r>
    <r>
      <rPr>
        <sz val="14"/>
        <rFont val="Times New Roman"/>
        <family val="1"/>
      </rPr>
      <t>32,354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37.48%</t>
    </r>
    <r>
      <rPr>
        <sz val="14"/>
        <rFont val="標楷體"/>
        <family val="4"/>
      </rPr>
      <t>；若按構造別區分，鋼筋混凝土</t>
    </r>
    <r>
      <rPr>
        <sz val="14"/>
        <rFont val="Times New Roman"/>
        <family val="1"/>
      </rPr>
      <t>79,340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91.90%</t>
    </r>
    <r>
      <rPr>
        <sz val="14"/>
        <rFont val="標楷體"/>
        <family val="4"/>
      </rPr>
      <t>，非鋼筋混凝土</t>
    </r>
    <r>
      <rPr>
        <sz val="14"/>
        <rFont val="Times New Roman"/>
        <family val="1"/>
      </rPr>
      <t>6,993</t>
    </r>
    <r>
      <rPr>
        <sz val="14"/>
        <rFont val="標楷體"/>
        <family val="4"/>
      </rPr>
      <t>平方公尺占</t>
    </r>
    <r>
      <rPr>
        <sz val="14"/>
        <rFont val="Times New Roman"/>
        <family val="1"/>
      </rPr>
      <t>8.10%</t>
    </r>
    <r>
      <rPr>
        <sz val="14"/>
        <rFont val="標楷體"/>
        <family val="4"/>
      </rPr>
      <t>。</t>
    </r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</si>
  <si>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季觀光遊憩區遊客人次為</t>
    </r>
    <r>
      <rPr>
        <sz val="14"/>
        <rFont val="Times New Roman"/>
        <family val="1"/>
      </rPr>
      <t>590,968</t>
    </r>
    <r>
      <rPr>
        <sz val="14"/>
        <rFont val="標楷體"/>
        <family val="4"/>
      </rPr>
      <t>人次，較上季減少</t>
    </r>
    <r>
      <rPr>
        <sz val="14"/>
        <rFont val="Times New Roman"/>
        <family val="1"/>
      </rPr>
      <t>1,013,177</t>
    </r>
    <r>
      <rPr>
        <sz val="14"/>
        <rFont val="標楷體"/>
        <family val="4"/>
      </rPr>
      <t>人次計</t>
    </r>
    <r>
      <rPr>
        <sz val="14"/>
        <rFont val="Times New Roman"/>
        <family val="1"/>
      </rPr>
      <t>-63.16%</t>
    </r>
    <r>
      <rPr>
        <sz val="14"/>
        <rFont val="標楷體"/>
        <family val="4"/>
      </rPr>
      <t>，與去年同季比較減少</t>
    </r>
    <r>
      <rPr>
        <sz val="14"/>
        <rFont val="Times New Roman"/>
        <family val="1"/>
      </rPr>
      <t>17.37%</t>
    </r>
    <r>
      <rPr>
        <sz val="14"/>
        <rFont val="標楷體"/>
        <family val="4"/>
      </rPr>
      <t>；本季觀光遊憩區遊客人次以五峰旗最多為</t>
    </r>
    <r>
      <rPr>
        <sz val="14"/>
        <rFont val="Times New Roman"/>
        <family val="1"/>
      </rPr>
      <t>303,505</t>
    </r>
    <r>
      <rPr>
        <sz val="14"/>
        <rFont val="標楷體"/>
        <family val="4"/>
      </rPr>
      <t>人次占</t>
    </r>
    <r>
      <rPr>
        <sz val="14"/>
        <rFont val="Times New Roman"/>
        <family val="1"/>
      </rPr>
      <t>51.36%</t>
    </r>
    <r>
      <rPr>
        <sz val="14"/>
        <rFont val="標楷體"/>
        <family val="4"/>
      </rPr>
      <t>，其次為梅花湖</t>
    </r>
    <r>
      <rPr>
        <sz val="14"/>
        <rFont val="Times New Roman"/>
        <family val="1"/>
      </rPr>
      <t>113,321</t>
    </r>
    <r>
      <rPr>
        <sz val="14"/>
        <rFont val="標楷體"/>
        <family val="4"/>
      </rPr>
      <t>人次占</t>
    </r>
    <r>
      <rPr>
        <sz val="14"/>
        <rFont val="Times New Roman"/>
        <family val="1"/>
      </rPr>
      <t>19.18%</t>
    </r>
    <r>
      <rPr>
        <sz val="14"/>
        <rFont val="標楷體"/>
        <family val="4"/>
      </rPr>
      <t>。</t>
    </r>
  </si>
  <si>
    <t>99.01-99.12</t>
  </si>
  <si>
    <t>八、環境保護</t>
  </si>
  <si>
    <r>
      <t>　　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季公害陳情案件受理件數為</t>
    </r>
    <r>
      <rPr>
        <sz val="14"/>
        <rFont val="Times New Roman"/>
        <family val="1"/>
      </rPr>
      <t>1,132</t>
    </r>
    <r>
      <rPr>
        <sz val="14"/>
        <rFont val="標楷體"/>
        <family val="4"/>
      </rPr>
      <t>件，較上季減少</t>
    </r>
    <r>
      <rPr>
        <sz val="14"/>
        <rFont val="Times New Roman"/>
        <family val="1"/>
      </rPr>
      <t>165</t>
    </r>
    <r>
      <rPr>
        <sz val="14"/>
        <rFont val="標楷體"/>
        <family val="4"/>
      </rPr>
      <t>件計</t>
    </r>
    <r>
      <rPr>
        <sz val="14"/>
        <rFont val="Times New Roman"/>
        <family val="1"/>
      </rPr>
      <t>-12.72%</t>
    </r>
    <r>
      <rPr>
        <sz val="14"/>
        <rFont val="標楷體"/>
        <family val="4"/>
      </rPr>
      <t>，其中以惡臭的空氣污染</t>
    </r>
    <r>
      <rPr>
        <sz val="14"/>
        <rFont val="Times New Roman"/>
        <family val="1"/>
      </rPr>
      <t>312</t>
    </r>
    <r>
      <rPr>
        <sz val="14"/>
        <rFont val="標楷體"/>
        <family val="4"/>
      </rPr>
      <t>件最多，佔公害陳情案件總數的</t>
    </r>
    <r>
      <rPr>
        <sz val="14"/>
        <rFont val="Times New Roman"/>
        <family val="1"/>
      </rPr>
      <t>27.56%</t>
    </r>
    <r>
      <rPr>
        <sz val="14"/>
        <rFont val="標楷體"/>
        <family val="4"/>
      </rPr>
      <t>；污染源稽查次數為</t>
    </r>
    <r>
      <rPr>
        <sz val="14"/>
        <rFont val="Times New Roman"/>
        <family val="1"/>
      </rPr>
      <t>9,217</t>
    </r>
    <r>
      <rPr>
        <sz val="14"/>
        <rFont val="標楷體"/>
        <family val="4"/>
      </rPr>
      <t>次，較上季減少</t>
    </r>
    <r>
      <rPr>
        <sz val="14"/>
        <rFont val="Times New Roman"/>
        <family val="1"/>
      </rPr>
      <t>832</t>
    </r>
    <r>
      <rPr>
        <sz val="14"/>
        <rFont val="標楷體"/>
        <family val="4"/>
      </rPr>
      <t>件；資源回收成果為</t>
    </r>
    <r>
      <rPr>
        <sz val="14"/>
        <rFont val="Times New Roman"/>
        <family val="1"/>
      </rPr>
      <t>16,144,438</t>
    </r>
    <r>
      <rPr>
        <sz val="14"/>
        <rFont val="標楷體"/>
        <family val="4"/>
      </rPr>
      <t>公斤，較上季減少</t>
    </r>
    <r>
      <rPr>
        <sz val="14"/>
        <rFont val="Times New Roman"/>
        <family val="1"/>
      </rPr>
      <t>111,477</t>
    </r>
    <r>
      <rPr>
        <sz val="14"/>
        <rFont val="標楷體"/>
        <family val="4"/>
      </rPr>
      <t>公斤計</t>
    </r>
    <r>
      <rPr>
        <sz val="14"/>
        <rFont val="Times New Roman"/>
        <family val="1"/>
      </rPr>
      <t>-0.69%</t>
    </r>
    <r>
      <rPr>
        <sz val="14"/>
        <rFont val="標楷體"/>
        <family val="4"/>
      </rPr>
      <t>，其中以廢紙類的</t>
    </r>
    <r>
      <rPr>
        <sz val="14"/>
        <rFont val="Times New Roman"/>
        <family val="1"/>
      </rPr>
      <t>6,507,792</t>
    </r>
    <r>
      <rPr>
        <sz val="14"/>
        <rFont val="標楷體"/>
        <family val="4"/>
      </rPr>
      <t>公斤最多，佔資源回收成果總數的</t>
    </r>
    <r>
      <rPr>
        <sz val="14"/>
        <rFont val="Times New Roman"/>
        <family val="1"/>
      </rPr>
      <t>40.31%</t>
    </r>
    <r>
      <rPr>
        <sz val="14"/>
        <rFont val="標楷體"/>
        <family val="4"/>
      </rPr>
      <t>。</t>
    </r>
  </si>
  <si>
    <t>陳請案</t>
  </si>
  <si>
    <t>件數</t>
  </si>
  <si>
    <t>%</t>
  </si>
  <si>
    <t>空氣污染不含惡臭</t>
  </si>
  <si>
    <t>空氣污染惡臭</t>
  </si>
  <si>
    <t>噪音</t>
  </si>
  <si>
    <t>水污染</t>
  </si>
  <si>
    <t>廢棄物</t>
  </si>
  <si>
    <t>環境衛生</t>
  </si>
  <si>
    <t>振動</t>
  </si>
  <si>
    <t>其他</t>
  </si>
  <si>
    <t>公斤</t>
  </si>
  <si>
    <t>廢紙類</t>
  </si>
  <si>
    <t>廢鐵鋁罐</t>
  </si>
  <si>
    <t>其他金屬製品</t>
  </si>
  <si>
    <r>
      <t>廢塑膠製品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含保特瓶</t>
    </r>
    <r>
      <rPr>
        <sz val="11"/>
        <rFont val="Times New Roman"/>
        <family val="1"/>
      </rPr>
      <t>)</t>
    </r>
  </si>
  <si>
    <t>廢玻璃容器</t>
  </si>
  <si>
    <t>計</t>
  </si>
  <si>
    <t>~17~</t>
  </si>
  <si>
    <r>
      <t>表</t>
    </r>
    <r>
      <rPr>
        <sz val="16"/>
        <rFont val="Times New Roman"/>
        <family val="1"/>
      </rPr>
      <t xml:space="preserve">8. </t>
    </r>
    <r>
      <rPr>
        <sz val="16"/>
        <rFont val="標楷體"/>
        <family val="4"/>
      </rPr>
      <t>環境保護</t>
    </r>
  </si>
  <si>
    <t>Table 8. Environmental Protection</t>
  </si>
  <si>
    <t>年季別</t>
  </si>
  <si>
    <r>
      <t>公害陳情案件受理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>)</t>
    </r>
  </si>
  <si>
    <t>污染源稽查</t>
  </si>
  <si>
    <t>Polluter Inspection</t>
  </si>
  <si>
    <t>合</t>
  </si>
  <si>
    <t>空氣污染</t>
  </si>
  <si>
    <t>噪</t>
  </si>
  <si>
    <t>水</t>
  </si>
  <si>
    <t>廢</t>
  </si>
  <si>
    <t>振</t>
  </si>
  <si>
    <t>環境</t>
  </si>
  <si>
    <t>其</t>
  </si>
  <si>
    <t>稽查</t>
  </si>
  <si>
    <t>已收</t>
  </si>
  <si>
    <t>罰鍰</t>
  </si>
  <si>
    <t xml:space="preserve">Air </t>
  </si>
  <si>
    <t>污</t>
  </si>
  <si>
    <t>棄</t>
  </si>
  <si>
    <t>金額</t>
  </si>
  <si>
    <t>Year &amp; Quarter</t>
  </si>
  <si>
    <t>不含</t>
  </si>
  <si>
    <t>惡</t>
  </si>
  <si>
    <t>次數</t>
  </si>
  <si>
    <r>
      <t>(</t>
    </r>
    <r>
      <rPr>
        <sz val="11"/>
        <rFont val="標楷體"/>
        <family val="4"/>
      </rPr>
      <t>千元</t>
    </r>
    <r>
      <rPr>
        <sz val="11"/>
        <rFont val="Times New Roman"/>
        <family val="1"/>
      </rPr>
      <t>)</t>
    </r>
  </si>
  <si>
    <t>Vibra-
tility</t>
  </si>
  <si>
    <t>Environ-
mental Sani-
tation</t>
  </si>
  <si>
    <t>Others</t>
  </si>
  <si>
    <t>No. of  Inspec-
tion</t>
  </si>
  <si>
    <t>No. of Penalty</t>
  </si>
  <si>
    <t>Penalty Paid</t>
  </si>
  <si>
    <t>(Exclude Odors)</t>
  </si>
  <si>
    <t>Odors</t>
  </si>
  <si>
    <t>(NT1,000)</t>
  </si>
  <si>
    <t>八十三年</t>
  </si>
  <si>
    <t>…</t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</si>
  <si>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</si>
  <si>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</si>
  <si>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</si>
  <si>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</si>
  <si>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</si>
  <si>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</si>
  <si>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</si>
  <si>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</si>
  <si>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</si>
  <si>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</si>
  <si>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</si>
  <si>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</si>
  <si>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</si>
  <si>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</si>
  <si>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</si>
  <si>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</si>
  <si>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</si>
  <si>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</si>
  <si>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</si>
  <si>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</si>
  <si>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</si>
  <si>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</si>
  <si>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</si>
  <si>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color indexed="8"/>
        <rFont val="Times New Roman"/>
        <family val="1"/>
      </rPr>
      <t>99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2010</t>
    </r>
  </si>
  <si>
    <r>
      <t>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</rPr>
      <t>季</t>
    </r>
  </si>
  <si>
    <r>
      <t>當季較上季增減</t>
    </r>
    <r>
      <rPr>
        <sz val="8"/>
        <color indexed="8"/>
        <rFont val="Times New Roman"/>
        <family val="1"/>
      </rPr>
      <t>%</t>
    </r>
  </si>
  <si>
    <t>VS. with Last Quarter</t>
  </si>
  <si>
    <r>
      <t>當季較上年同季增減</t>
    </r>
    <r>
      <rPr>
        <sz val="8"/>
        <color indexed="8"/>
        <rFont val="Times New Roman"/>
        <family val="1"/>
      </rPr>
      <t>%</t>
    </r>
  </si>
  <si>
    <t>VS. with Last Year</t>
  </si>
  <si>
    <t>資料來源：本府環保局。</t>
  </si>
  <si>
    <t>~18~</t>
  </si>
  <si>
    <r>
      <t>表</t>
    </r>
    <r>
      <rPr>
        <sz val="16"/>
        <rFont val="Times New Roman"/>
        <family val="1"/>
      </rPr>
      <t xml:space="preserve">8. </t>
    </r>
    <r>
      <rPr>
        <sz val="16"/>
        <rFont val="標楷體"/>
        <family val="4"/>
      </rPr>
      <t>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</si>
  <si>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8. Environmental Protection (Cont.)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</si>
  <si>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Kg</t>
    </r>
  </si>
  <si>
    <t>資源回收成果</t>
  </si>
  <si>
    <t>總計</t>
  </si>
  <si>
    <t>其他金屬
製品</t>
  </si>
  <si>
    <t>Total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</si>
  <si>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</si>
  <si>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</si>
  <si>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</si>
  <si>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</si>
  <si>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</si>
  <si>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八十四年</t>
  </si>
  <si>
    <t>八十五年</t>
  </si>
  <si>
    <r>
      <t>說　　明：</t>
    </r>
  </si>
  <si>
    <r>
      <t>1.</t>
    </r>
    <r>
      <rPr>
        <sz val="11"/>
        <rFont val="標楷體"/>
        <family val="4"/>
      </rPr>
      <t>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尚未分類的光碟片及手機</t>
    </r>
    <r>
      <rPr>
        <sz val="11"/>
        <rFont val="Times New Roman"/>
        <family val="1"/>
      </rPr>
      <t>+...</t>
    </r>
    <r>
      <rPr>
        <sz val="11"/>
        <rFont val="標楷體"/>
        <family val="4"/>
      </rPr>
      <t>等。</t>
    </r>
  </si>
  <si>
    <r>
      <t>2.</t>
    </r>
    <r>
      <rPr>
        <sz val="11"/>
        <rFont val="標楷體"/>
        <family val="4"/>
      </rPr>
      <t>因四捨五入之故，資料有些許誤差。</t>
    </r>
  </si>
  <si>
    <t>~19~</t>
  </si>
  <si>
    <t>Year &amp;  Quarter</t>
  </si>
  <si>
    <t>十、衛生醫療</t>
  </si>
  <si>
    <r>
      <t>　　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季藥物檢查</t>
    </r>
    <r>
      <rPr>
        <sz val="14"/>
        <rFont val="Times New Roman"/>
        <family val="1"/>
      </rPr>
      <t>307</t>
    </r>
    <r>
      <rPr>
        <sz val="14"/>
        <rFont val="標楷體"/>
        <family val="4"/>
      </rPr>
      <t>家，較上季減少</t>
    </r>
    <r>
      <rPr>
        <sz val="14"/>
        <rFont val="Times New Roman"/>
        <family val="1"/>
      </rPr>
      <t>96</t>
    </r>
    <r>
      <rPr>
        <sz val="14"/>
        <rFont val="標楷體"/>
        <family val="4"/>
      </rPr>
      <t>家，其中違反家次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家，佔檢查家次的</t>
    </r>
    <r>
      <rPr>
        <sz val="14"/>
        <rFont val="Times New Roman"/>
        <family val="1"/>
      </rPr>
      <t>3.91%</t>
    </r>
    <r>
      <rPr>
        <sz val="14"/>
        <rFont val="標楷體"/>
        <family val="4"/>
      </rPr>
      <t>；食品衛生管理稽查家數</t>
    </r>
    <r>
      <rPr>
        <sz val="14"/>
        <rFont val="Times New Roman"/>
        <family val="1"/>
      </rPr>
      <t>369</t>
    </r>
    <r>
      <rPr>
        <sz val="14"/>
        <rFont val="標楷體"/>
        <family val="4"/>
      </rPr>
      <t>家，較上季減少</t>
    </r>
    <r>
      <rPr>
        <sz val="14"/>
        <rFont val="Times New Roman"/>
        <family val="1"/>
      </rPr>
      <t>30</t>
    </r>
    <r>
      <rPr>
        <sz val="14"/>
        <rFont val="標楷體"/>
        <family val="4"/>
      </rPr>
      <t>家計</t>
    </r>
    <r>
      <rPr>
        <sz val="14"/>
        <rFont val="Times New Roman"/>
        <family val="1"/>
      </rPr>
      <t>-7.52%</t>
    </r>
    <r>
      <rPr>
        <sz val="14"/>
        <rFont val="標楷體"/>
        <family val="4"/>
      </rPr>
      <t>，其中違反家數</t>
    </r>
    <r>
      <rPr>
        <sz val="14"/>
        <rFont val="Times New Roman"/>
        <family val="1"/>
      </rPr>
      <t>37</t>
    </r>
    <r>
      <rPr>
        <sz val="14"/>
        <rFont val="標楷體"/>
        <family val="4"/>
      </rPr>
      <t>家，佔稽查家數</t>
    </r>
    <r>
      <rPr>
        <sz val="14"/>
        <rFont val="Times New Roman"/>
        <family val="1"/>
      </rPr>
      <t>10.03%</t>
    </r>
    <r>
      <rPr>
        <sz val="14"/>
        <rFont val="標楷體"/>
        <family val="4"/>
      </rPr>
      <t>；營業衛生稽查家次</t>
    </r>
    <r>
      <rPr>
        <sz val="14"/>
        <rFont val="Times New Roman"/>
        <family val="1"/>
      </rPr>
      <t>327</t>
    </r>
    <r>
      <rPr>
        <sz val="14"/>
        <rFont val="標楷體"/>
        <family val="4"/>
      </rPr>
      <t>家，較上季減少</t>
    </r>
    <r>
      <rPr>
        <sz val="14"/>
        <rFont val="Times New Roman"/>
        <family val="1"/>
      </rPr>
      <t>46</t>
    </r>
    <r>
      <rPr>
        <sz val="14"/>
        <rFont val="標楷體"/>
        <family val="4"/>
      </rPr>
      <t>家計</t>
    </r>
    <r>
      <rPr>
        <sz val="14"/>
        <rFont val="Times New Roman"/>
        <family val="1"/>
      </rPr>
      <t>-12.33%</t>
    </r>
    <r>
      <rPr>
        <sz val="14"/>
        <rFont val="標楷體"/>
        <family val="4"/>
      </rPr>
      <t>，輔導改善為</t>
    </r>
    <r>
      <rPr>
        <sz val="14"/>
        <rFont val="Times New Roman"/>
        <family val="1"/>
      </rPr>
      <t>213</t>
    </r>
    <r>
      <rPr>
        <sz val="14"/>
        <rFont val="標楷體"/>
        <family val="4"/>
      </rPr>
      <t>次，佔稽查家數的</t>
    </r>
    <r>
      <rPr>
        <sz val="14"/>
        <rFont val="Times New Roman"/>
        <family val="1"/>
      </rPr>
      <t>65.14%</t>
    </r>
    <r>
      <rPr>
        <sz val="14"/>
        <rFont val="標楷體"/>
        <family val="4"/>
      </rPr>
      <t>。</t>
    </r>
  </si>
  <si>
    <t>資料來源：本縣警察局。</t>
  </si>
  <si>
    <r>
      <t>表</t>
    </r>
    <r>
      <rPr>
        <sz val="16"/>
        <rFont val="Times New Roman"/>
        <family val="1"/>
      </rPr>
      <t xml:space="preserve">10. </t>
    </r>
    <r>
      <rPr>
        <sz val="16"/>
        <rFont val="標楷體"/>
        <family val="4"/>
      </rPr>
      <t>衛生醫療</t>
    </r>
  </si>
  <si>
    <t>Table 10. Public Health</t>
  </si>
  <si>
    <t>藥物檢查違反統計</t>
  </si>
  <si>
    <t>食品衛生管理</t>
  </si>
  <si>
    <t>營業衛生</t>
  </si>
  <si>
    <t>Inspection and Control of Illegal Drugs</t>
  </si>
  <si>
    <t>Sanitary Inspection</t>
  </si>
  <si>
    <t>檢查</t>
  </si>
  <si>
    <t>違反</t>
  </si>
  <si>
    <t>輔導</t>
  </si>
  <si>
    <t>改善</t>
  </si>
  <si>
    <t>家次</t>
  </si>
  <si>
    <t>家數</t>
  </si>
  <si>
    <t>No. of Business Inspected</t>
  </si>
  <si>
    <t>No. of  Inspection</t>
  </si>
  <si>
    <t>No. to be Improved</t>
  </si>
  <si>
    <t>VS. with
 Last Quarter</t>
  </si>
  <si>
    <t>VS. with 
Last Year</t>
  </si>
  <si>
    <t>資料來源：本府衛生局。</t>
  </si>
  <si>
    <r>
      <t>說　　明：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季起食品衛生管理工作報表變動，欄位細項眾多，故僅列總計欄位。</t>
    </r>
  </si>
  <si>
    <r>
      <t xml:space="preserve">          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季起營業衛生由稽查家數改為稽查家次。</t>
    </r>
  </si>
  <si>
    <t>~23~</t>
  </si>
  <si>
    <r>
      <t xml:space="preserve">工廠登記數家數
</t>
    </r>
    <r>
      <rPr>
        <sz val="12"/>
        <rFont val="Times New Roman"/>
        <family val="1"/>
      </rPr>
      <t>Number of Factories Registered</t>
    </r>
  </si>
  <si>
    <r>
      <t>表</t>
    </r>
    <r>
      <rPr>
        <sz val="16"/>
        <rFont val="Times New Roman"/>
        <family val="1"/>
      </rPr>
      <t xml:space="preserve">12. </t>
    </r>
    <r>
      <rPr>
        <sz val="16"/>
        <rFont val="標楷體"/>
        <family val="4"/>
      </rPr>
      <t xml:space="preserve">機動車輛
</t>
    </r>
    <r>
      <rPr>
        <sz val="16"/>
        <rFont val="Times New Roman"/>
        <family val="1"/>
      </rPr>
      <t>Table 12. Motor Vehicles</t>
    </r>
  </si>
  <si>
    <r>
      <t>89</t>
    </r>
    <r>
      <rPr>
        <sz val="8"/>
        <rFont val="標楷體"/>
        <family val="4"/>
      </rPr>
      <t>年</t>
    </r>
  </si>
  <si>
    <t>大客車</t>
  </si>
  <si>
    <t>大客車</t>
  </si>
  <si>
    <t>大貨車</t>
  </si>
  <si>
    <t>小客車</t>
  </si>
  <si>
    <t>汽車</t>
  </si>
  <si>
    <t>小貨車</t>
  </si>
  <si>
    <t>特種車</t>
  </si>
  <si>
    <r>
      <t xml:space="preserve">單位：輛
</t>
    </r>
    <r>
      <rPr>
        <sz val="12"/>
        <rFont val="Times New Roman"/>
        <family val="1"/>
      </rPr>
      <t>Unit: Vehicle</t>
    </r>
  </si>
  <si>
    <r>
      <t>總計</t>
    </r>
    <r>
      <rPr>
        <sz val="12"/>
        <rFont val="Times New Roman"/>
        <family val="1"/>
      </rPr>
      <t xml:space="preserve">   Total</t>
    </r>
  </si>
  <si>
    <r>
      <t>合計</t>
    </r>
    <r>
      <rPr>
        <sz val="12"/>
        <rFont val="Times New Roman"/>
        <family val="1"/>
      </rPr>
      <t xml:space="preserve">   Total</t>
    </r>
  </si>
  <si>
    <r>
      <t>汽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車</t>
    </r>
    <r>
      <rPr>
        <sz val="12"/>
        <rFont val="Times New Roman"/>
        <family val="1"/>
      </rPr>
      <t xml:space="preserve">   Automobile</t>
    </r>
  </si>
  <si>
    <r>
      <t>機踏車</t>
    </r>
    <r>
      <rPr>
        <sz val="12"/>
        <rFont val="Times New Roman"/>
        <family val="1"/>
      </rPr>
      <t>Motor-
cycle</t>
    </r>
  </si>
  <si>
    <r>
      <t>自用</t>
    </r>
    <r>
      <rPr>
        <sz val="10"/>
        <rFont val="Times New Roman"/>
        <family val="1"/>
      </rPr>
      <t>Private</t>
    </r>
  </si>
  <si>
    <r>
      <t>營業</t>
    </r>
    <r>
      <rPr>
        <sz val="10"/>
        <rFont val="Times New Roman"/>
        <family val="1"/>
      </rPr>
      <t>Business</t>
    </r>
  </si>
  <si>
    <r>
      <t xml:space="preserve">大客車
</t>
    </r>
    <r>
      <rPr>
        <sz val="11"/>
        <rFont val="Times New Roman"/>
        <family val="1"/>
      </rPr>
      <t>Bus</t>
    </r>
  </si>
  <si>
    <r>
      <t>大貨車</t>
    </r>
    <r>
      <rPr>
        <sz val="11"/>
        <rFont val="Times New Roman"/>
        <family val="1"/>
      </rPr>
      <t xml:space="preserve"> 
Heavy Truck</t>
    </r>
  </si>
  <si>
    <r>
      <t xml:space="preserve">小客車
</t>
    </r>
    <r>
      <rPr>
        <sz val="11"/>
        <rFont val="Times New Roman"/>
        <family val="1"/>
      </rPr>
      <t>Car</t>
    </r>
  </si>
  <si>
    <r>
      <t xml:space="preserve">小貨車
</t>
    </r>
    <r>
      <rPr>
        <sz val="11"/>
        <rFont val="Times New Roman"/>
        <family val="1"/>
      </rPr>
      <t>Truck</t>
    </r>
  </si>
  <si>
    <r>
      <t>特種車</t>
    </r>
    <r>
      <rPr>
        <sz val="11"/>
        <rFont val="Times New Roman"/>
        <family val="1"/>
      </rPr>
      <t>Special Con-
structed Vehicle</t>
    </r>
  </si>
  <si>
    <r>
      <t>經常門</t>
    </r>
    <r>
      <rPr>
        <sz val="10"/>
        <rFont val="Times New Roman"/>
        <family val="1"/>
      </rPr>
      <t xml:space="preserve"> Current Total</t>
    </r>
  </si>
  <si>
    <r>
      <t xml:space="preserve">  </t>
    </r>
    <r>
      <rPr>
        <sz val="8"/>
        <rFont val="標楷體"/>
        <family val="4"/>
      </rPr>
      <t>環境保護支出</t>
    </r>
    <r>
      <rPr>
        <sz val="8"/>
        <rFont val="Times New Roman"/>
        <family val="1"/>
      </rPr>
      <t>Expenditure for Environmental Protection</t>
    </r>
  </si>
  <si>
    <r>
      <t xml:space="preserve">  </t>
    </r>
    <r>
      <rPr>
        <sz val="8"/>
        <rFont val="標楷體"/>
        <family val="4"/>
      </rPr>
      <t>政權行使支出</t>
    </r>
    <r>
      <rPr>
        <sz val="8"/>
        <rFont val="Times New Roman"/>
        <family val="1"/>
      </rPr>
      <t>Expenditure for Political Function</t>
    </r>
  </si>
  <si>
    <r>
      <t xml:space="preserve">  </t>
    </r>
    <r>
      <rPr>
        <sz val="8"/>
        <rFont val="標楷體"/>
        <family val="4"/>
      </rPr>
      <t>行政支出</t>
    </r>
    <r>
      <rPr>
        <sz val="8"/>
        <rFont val="Times New Roman"/>
        <family val="1"/>
      </rPr>
      <t>Administrative Expenditure</t>
    </r>
  </si>
  <si>
    <r>
      <t xml:space="preserve">  </t>
    </r>
    <r>
      <rPr>
        <sz val="8"/>
        <rFont val="標楷體"/>
        <family val="4"/>
      </rPr>
      <t>民政支出</t>
    </r>
    <r>
      <rPr>
        <sz val="8"/>
        <rFont val="Times New Roman"/>
        <family val="1"/>
      </rPr>
      <t>Civil Affairs Expenditure</t>
    </r>
  </si>
  <si>
    <r>
      <t xml:space="preserve">  </t>
    </r>
    <r>
      <rPr>
        <sz val="8"/>
        <rFont val="標楷體"/>
        <family val="4"/>
      </rPr>
      <t>財務支出</t>
    </r>
    <r>
      <rPr>
        <sz val="8"/>
        <rFont val="Times New Roman"/>
        <family val="1"/>
      </rPr>
      <t>Financial Expenditure</t>
    </r>
  </si>
  <si>
    <r>
      <t xml:space="preserve">  </t>
    </r>
    <r>
      <rPr>
        <sz val="8"/>
        <rFont val="標楷體"/>
        <family val="4"/>
      </rPr>
      <t>教育支出</t>
    </r>
    <r>
      <rPr>
        <sz val="8"/>
        <rFont val="Times New Roman"/>
        <family val="1"/>
      </rPr>
      <t>Expenditure for Education</t>
    </r>
  </si>
  <si>
    <r>
      <t xml:space="preserve">  </t>
    </r>
    <r>
      <rPr>
        <sz val="8"/>
        <rFont val="標楷體"/>
        <family val="4"/>
      </rPr>
      <t>文化支出</t>
    </r>
    <r>
      <rPr>
        <sz val="8"/>
        <rFont val="Times New Roman"/>
        <family val="1"/>
      </rPr>
      <t>Expenditure for Culture</t>
    </r>
  </si>
  <si>
    <r>
      <t xml:space="preserve">  </t>
    </r>
    <r>
      <rPr>
        <sz val="8"/>
        <rFont val="標楷體"/>
        <family val="4"/>
      </rPr>
      <t>農業支出</t>
    </r>
    <r>
      <rPr>
        <sz val="8"/>
        <rFont val="Times New Roman"/>
        <family val="1"/>
      </rPr>
      <t>Expenditure for Agriculture</t>
    </r>
  </si>
  <si>
    <r>
      <t xml:space="preserve">  </t>
    </r>
    <r>
      <rPr>
        <sz val="8"/>
        <rFont val="標楷體"/>
        <family val="4"/>
      </rPr>
      <t>工業支出</t>
    </r>
    <r>
      <rPr>
        <sz val="8"/>
        <rFont val="Times New Roman"/>
        <family val="1"/>
      </rPr>
      <t>Expenditure for Industry</t>
    </r>
  </si>
  <si>
    <r>
      <t xml:space="preserve">  </t>
    </r>
    <r>
      <rPr>
        <sz val="8"/>
        <rFont val="標楷體"/>
        <family val="4"/>
      </rPr>
      <t>交通支出</t>
    </r>
    <r>
      <rPr>
        <sz val="8"/>
        <rFont val="Times New Roman"/>
        <family val="1"/>
      </rPr>
      <t>Expenditure for Communication</t>
    </r>
  </si>
  <si>
    <r>
      <t xml:space="preserve">  </t>
    </r>
    <r>
      <rPr>
        <sz val="8"/>
        <rFont val="標楷體"/>
        <family val="4"/>
      </rPr>
      <t>社會保險支出</t>
    </r>
    <r>
      <rPr>
        <sz val="8"/>
        <rFont val="Times New Roman"/>
        <family val="1"/>
      </rPr>
      <t>Expenditure for Social Insurance</t>
    </r>
  </si>
  <si>
    <r>
      <t xml:space="preserve">  </t>
    </r>
    <r>
      <rPr>
        <sz val="8"/>
        <rFont val="標楷體"/>
        <family val="4"/>
      </rPr>
      <t>社會救助支出</t>
    </r>
    <r>
      <rPr>
        <sz val="8"/>
        <rFont val="Times New Roman"/>
        <family val="1"/>
      </rPr>
      <t>Expenditure for Social Relief</t>
    </r>
  </si>
  <si>
    <t>年季底別</t>
  </si>
  <si>
    <t>End of Year &amp; Quarter</t>
  </si>
  <si>
    <t>二十一、國中小學教育概況</t>
  </si>
  <si>
    <r>
      <t>1.</t>
    </r>
    <r>
      <rPr>
        <sz val="14"/>
        <rFont val="標楷體"/>
        <family val="4"/>
      </rPr>
      <t>國民中學：
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學年度共計</t>
    </r>
    <r>
      <rPr>
        <sz val="14"/>
        <rFont val="Times New Roman"/>
        <family val="1"/>
      </rPr>
      <t>25</t>
    </r>
    <r>
      <rPr>
        <sz val="14"/>
        <rFont val="標楷體"/>
        <family val="4"/>
      </rPr>
      <t>所國中，班級數為</t>
    </r>
    <r>
      <rPr>
        <sz val="14"/>
        <rFont val="Times New Roman"/>
        <family val="1"/>
      </rPr>
      <t>645</t>
    </r>
    <r>
      <rPr>
        <sz val="14"/>
        <rFont val="標楷體"/>
        <family val="4"/>
      </rPr>
      <t>班較上學年減少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班計</t>
    </r>
    <r>
      <rPr>
        <sz val="14"/>
        <rFont val="Times New Roman"/>
        <family val="1"/>
      </rPr>
      <t>-1.68%</t>
    </r>
    <r>
      <rPr>
        <sz val="14"/>
        <rFont val="標楷體"/>
        <family val="4"/>
      </rPr>
      <t>，學生數為</t>
    </r>
    <r>
      <rPr>
        <sz val="14"/>
        <rFont val="Times New Roman"/>
        <family val="1"/>
      </rPr>
      <t>20,267</t>
    </r>
    <r>
      <rPr>
        <sz val="14"/>
        <rFont val="標楷體"/>
        <family val="4"/>
      </rPr>
      <t>人較上學年減少</t>
    </r>
    <r>
      <rPr>
        <sz val="14"/>
        <rFont val="Times New Roman"/>
        <family val="1"/>
      </rPr>
      <t>596</t>
    </r>
    <r>
      <rPr>
        <sz val="14"/>
        <rFont val="標楷體"/>
        <family val="4"/>
      </rPr>
      <t>人計-2.86</t>
    </r>
    <r>
      <rPr>
        <sz val="14"/>
        <rFont val="Times New Roman"/>
        <family val="1"/>
      </rPr>
      <t>%</t>
    </r>
    <r>
      <rPr>
        <sz val="14"/>
        <rFont val="標楷體"/>
        <family val="4"/>
      </rPr>
      <t>，教師人數為</t>
    </r>
    <r>
      <rPr>
        <sz val="14"/>
        <rFont val="Times New Roman"/>
        <family val="1"/>
      </rPr>
      <t>1,311</t>
    </r>
    <r>
      <rPr>
        <sz val="14"/>
        <rFont val="標楷體"/>
        <family val="4"/>
      </rPr>
      <t>人較上學年增加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1.31%</t>
    </r>
    <r>
      <rPr>
        <sz val="14"/>
        <rFont val="標楷體"/>
        <family val="4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>國民小學：
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學年度共計</t>
    </r>
    <r>
      <rPr>
        <sz val="14"/>
        <rFont val="Times New Roman"/>
        <family val="1"/>
      </rPr>
      <t>77</t>
    </r>
    <r>
      <rPr>
        <sz val="14"/>
        <rFont val="標楷體"/>
        <family val="4"/>
      </rPr>
      <t>所國小，班級數為</t>
    </r>
    <r>
      <rPr>
        <sz val="14"/>
        <rFont val="Times New Roman"/>
        <family val="1"/>
      </rPr>
      <t>1,287</t>
    </r>
    <r>
      <rPr>
        <sz val="14"/>
        <rFont val="標楷體"/>
        <family val="4"/>
      </rPr>
      <t>班較上學年減少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班計</t>
    </r>
    <r>
      <rPr>
        <sz val="14"/>
        <rFont val="Times New Roman"/>
        <family val="1"/>
      </rPr>
      <t>-1.15%</t>
    </r>
    <r>
      <rPr>
        <sz val="14"/>
        <rFont val="標楷體"/>
        <family val="4"/>
      </rPr>
      <t>，學生人數為</t>
    </r>
    <r>
      <rPr>
        <sz val="14"/>
        <rFont val="Times New Roman"/>
        <family val="1"/>
      </rPr>
      <t>29,728</t>
    </r>
    <r>
      <rPr>
        <sz val="14"/>
        <rFont val="標楷體"/>
        <family val="4"/>
      </rPr>
      <t>人較上學年減少</t>
    </r>
    <r>
      <rPr>
        <sz val="14"/>
        <rFont val="Times New Roman"/>
        <family val="1"/>
      </rPr>
      <t>1,643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-5.24%</t>
    </r>
    <r>
      <rPr>
        <sz val="14"/>
        <rFont val="標楷體"/>
        <family val="4"/>
      </rPr>
      <t>，教師人數為</t>
    </r>
    <r>
      <rPr>
        <sz val="14"/>
        <rFont val="Times New Roman"/>
        <family val="1"/>
      </rPr>
      <t>2,183</t>
    </r>
    <r>
      <rPr>
        <sz val="14"/>
        <rFont val="標楷體"/>
        <family val="4"/>
      </rPr>
      <t>人較上學年減少</t>
    </r>
    <r>
      <rPr>
        <sz val="14"/>
        <rFont val="Times New Roman"/>
        <family val="1"/>
      </rPr>
      <t>17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-0.77%</t>
    </r>
    <r>
      <rPr>
        <sz val="14"/>
        <rFont val="標楷體"/>
        <family val="4"/>
      </rPr>
      <t>。</t>
    </r>
  </si>
  <si>
    <r>
      <t xml:space="preserve">    </t>
    </r>
  </si>
  <si>
    <t xml:space="preserve">  </t>
  </si>
  <si>
    <r>
      <t xml:space="preserve">  </t>
    </r>
  </si>
  <si>
    <t>~45~</t>
  </si>
  <si>
    <r>
      <t>表</t>
    </r>
    <r>
      <rPr>
        <sz val="16"/>
        <rFont val="Times New Roman"/>
        <family val="1"/>
      </rPr>
      <t xml:space="preserve">21. </t>
    </r>
    <r>
      <rPr>
        <sz val="16"/>
        <rFont val="標楷體"/>
        <family val="4"/>
      </rPr>
      <t>國中小學教育概況</t>
    </r>
  </si>
  <si>
    <t xml:space="preserve">Table 21. The Condition of Elementary School  &amp; Junior High School </t>
  </si>
  <si>
    <t>學年度別</t>
  </si>
  <si>
    <t>校數</t>
  </si>
  <si>
    <t>班級數</t>
  </si>
  <si>
    <t>學生數</t>
  </si>
  <si>
    <t>教師數</t>
  </si>
  <si>
    <t>Number of Schools</t>
  </si>
  <si>
    <t>Number  of  Classes</t>
  </si>
  <si>
    <t>Number  of  Pupils</t>
  </si>
  <si>
    <t>Number  of  Teachers</t>
  </si>
  <si>
    <t>國中</t>
  </si>
  <si>
    <t>國小</t>
  </si>
  <si>
    <t xml:space="preserve">Junior High School </t>
  </si>
  <si>
    <t>Elementary School</t>
  </si>
  <si>
    <r>
      <t>88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AY1999</t>
    </r>
  </si>
  <si>
    <r>
      <t>89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AY2000</t>
    </r>
  </si>
  <si>
    <r>
      <t>90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AY2001</t>
    </r>
  </si>
  <si>
    <r>
      <t>91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AY2002</t>
    </r>
  </si>
  <si>
    <r>
      <t>92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AY2003</t>
    </r>
  </si>
  <si>
    <r>
      <t>93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AY2004</t>
    </r>
  </si>
  <si>
    <r>
      <t>94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AY2005</t>
    </r>
  </si>
  <si>
    <r>
      <t>96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AY2007</t>
    </r>
  </si>
  <si>
    <r>
      <t>97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AY2008</t>
    </r>
  </si>
  <si>
    <r>
      <t>98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AY2009</t>
    </r>
  </si>
  <si>
    <r>
      <t>99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AY2010</t>
    </r>
  </si>
  <si>
    <r>
      <t>較上學年增減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率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VS. with Last Year</t>
    </r>
  </si>
  <si>
    <r>
      <t>較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學年增減比率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VS. with 1999</t>
    </r>
  </si>
  <si>
    <t>資料來源：依據本府教育處資料編製。</t>
  </si>
  <si>
    <t>備註：本縣中道高中附設國中小學部、慧燈高中及南澳高中附設國中部併入高級中學學校數。</t>
  </si>
  <si>
    <t xml:space="preserve">      </t>
  </si>
  <si>
    <t>~46~</t>
  </si>
  <si>
    <r>
      <t>88</t>
    </r>
    <r>
      <rPr>
        <sz val="12"/>
        <rFont val="細明體"/>
        <family val="3"/>
      </rPr>
      <t>學年</t>
    </r>
  </si>
  <si>
    <r>
      <t>89</t>
    </r>
    <r>
      <rPr>
        <sz val="12"/>
        <rFont val="細明體"/>
        <family val="3"/>
      </rPr>
      <t>學年</t>
    </r>
  </si>
  <si>
    <r>
      <t>99</t>
    </r>
    <r>
      <rPr>
        <sz val="12"/>
        <rFont val="細明體"/>
        <family val="3"/>
      </rPr>
      <t>學年</t>
    </r>
  </si>
  <si>
    <t>二十二、物價</t>
  </si>
  <si>
    <r>
      <t>　　臺灣地區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季物價指數變動情況如下，其中躉售物價指數，較上季減少</t>
    </r>
    <r>
      <rPr>
        <sz val="14"/>
        <rFont val="Times New Roman"/>
        <family val="1"/>
      </rPr>
      <t>0.30%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2.79%</t>
    </r>
    <r>
      <rPr>
        <sz val="14"/>
        <rFont val="標楷體"/>
        <family val="4"/>
      </rPr>
      <t>；消費者物價指數，較上季增加</t>
    </r>
    <r>
      <rPr>
        <sz val="14"/>
        <rFont val="Times New Roman"/>
        <family val="1"/>
      </rPr>
      <t>0.61%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1.11%</t>
    </r>
    <r>
      <rPr>
        <sz val="14"/>
        <rFont val="標楷體"/>
        <family val="4"/>
      </rPr>
      <t>；進口物價指數，較上季增加</t>
    </r>
    <r>
      <rPr>
        <sz val="14"/>
        <rFont val="Times New Roman"/>
        <family val="1"/>
      </rPr>
      <t>0.07%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3.84%</t>
    </r>
    <r>
      <rPr>
        <sz val="14"/>
        <rFont val="標楷體"/>
        <family val="4"/>
      </rPr>
      <t>；出口物價指數，較上季減少</t>
    </r>
    <r>
      <rPr>
        <sz val="14"/>
        <rFont val="Times New Roman"/>
        <family val="1"/>
      </rPr>
      <t>2.24%</t>
    </r>
    <r>
      <rPr>
        <sz val="14"/>
        <rFont val="標楷體"/>
        <family val="4"/>
      </rPr>
      <t>，較上年同季減少</t>
    </r>
    <r>
      <rPr>
        <sz val="14"/>
        <rFont val="Times New Roman"/>
        <family val="1"/>
      </rPr>
      <t>0.67%</t>
    </r>
    <r>
      <rPr>
        <sz val="14"/>
        <rFont val="標楷體"/>
        <family val="4"/>
      </rPr>
      <t>；營造工程物價指數，較上季增加</t>
    </r>
    <r>
      <rPr>
        <sz val="14"/>
        <rFont val="Times New Roman"/>
        <family val="1"/>
      </rPr>
      <t>0.44%</t>
    </r>
    <r>
      <rPr>
        <sz val="14"/>
        <rFont val="標楷體"/>
        <family val="4"/>
      </rPr>
      <t>，較上年同季增加</t>
    </r>
    <r>
      <rPr>
        <sz val="14"/>
        <rFont val="Times New Roman"/>
        <family val="1"/>
      </rPr>
      <t>3.54%</t>
    </r>
    <r>
      <rPr>
        <sz val="14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</si>
  <si>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22. </t>
    </r>
    <r>
      <rPr>
        <sz val="16"/>
        <rFont val="標楷體"/>
        <family val="4"/>
      </rPr>
      <t>臺灣地區各種物價指數之變動</t>
    </r>
  </si>
  <si>
    <t>Table 22. The  Changes  of  Various  Price  Indices in  Taiwan  Area</t>
  </si>
  <si>
    <t>躉售物價指數</t>
  </si>
  <si>
    <t>消費者
物價指數</t>
  </si>
  <si>
    <t>進口物價指數</t>
  </si>
  <si>
    <t>出口物價指數</t>
  </si>
  <si>
    <t>營造工程
物價指數</t>
  </si>
  <si>
    <t>Wholesale
Price Indices</t>
  </si>
  <si>
    <t>Consumer
Price Indices</t>
  </si>
  <si>
    <t>Import
Price Indices</t>
  </si>
  <si>
    <t>Export
Price Indices</t>
  </si>
  <si>
    <t>Construction Cost Indices</t>
  </si>
  <si>
    <r>
      <t>民國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2006</t>
    </r>
  </si>
  <si>
    <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2007</t>
    </r>
  </si>
  <si>
    <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1st Qua.</t>
    </r>
  </si>
  <si>
    <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2st Qua.</t>
    </r>
  </si>
  <si>
    <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3st Qua.</t>
    </r>
  </si>
  <si>
    <r>
      <t>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2008</t>
    </r>
  </si>
  <si>
    <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2nd Qua.</t>
    </r>
  </si>
  <si>
    <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3rd Qua.</t>
    </r>
  </si>
  <si>
    <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4th Qua.</t>
    </r>
  </si>
  <si>
    <r>
      <t>民國</t>
    </r>
    <r>
      <rPr>
        <sz val="11"/>
        <rFont val="Times New Roman"/>
        <family val="1"/>
      </rP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2009</t>
    </r>
  </si>
  <si>
    <r>
      <t>1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Jan.</t>
    </r>
  </si>
  <si>
    <r>
      <t>2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Feb.</t>
    </r>
  </si>
  <si>
    <r>
      <t>3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Mar.</t>
    </r>
  </si>
  <si>
    <r>
      <t>4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Apr.</t>
    </r>
  </si>
  <si>
    <r>
      <t>5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May.</t>
    </r>
  </si>
  <si>
    <r>
      <t>6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Jun.</t>
    </r>
  </si>
  <si>
    <r>
      <t>7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Jul.</t>
    </r>
  </si>
  <si>
    <r>
      <t>8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Aug.</t>
    </r>
  </si>
  <si>
    <r>
      <t>9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Sep.</t>
    </r>
  </si>
  <si>
    <r>
      <t>10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Oct.</t>
    </r>
  </si>
  <si>
    <r>
      <t>11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Nov.</t>
    </r>
  </si>
  <si>
    <r>
      <t>12</t>
    </r>
    <r>
      <rPr>
        <sz val="11"/>
        <rFont val="標楷體"/>
        <family val="4"/>
      </rPr>
      <t xml:space="preserve">月
</t>
    </r>
    <r>
      <rPr>
        <sz val="11"/>
        <rFont val="Times New Roman"/>
        <family val="1"/>
      </rPr>
      <t>Dec.</t>
    </r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</si>
  <si>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2010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</si>
  <si>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</si>
  <si>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</si>
  <si>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新細明體"/>
        <family val="1"/>
      </rPr>
      <t>Jun.</t>
    </r>
  </si>
  <si>
    <r>
      <t xml:space="preserve">第3季
</t>
    </r>
    <r>
      <rPr>
        <sz val="11"/>
        <rFont val="Times New Roman"/>
        <family val="1"/>
      </rPr>
      <t>3rd Qua.</t>
    </r>
  </si>
  <si>
    <r>
      <t>7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Jul.</t>
    </r>
  </si>
  <si>
    <r>
      <t>8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Aug.</t>
    </r>
  </si>
  <si>
    <r>
      <t>9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Sep.</t>
    </r>
  </si>
  <si>
    <r>
      <t>10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Oct.</t>
    </r>
  </si>
  <si>
    <r>
      <t>11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Nov.</t>
    </r>
  </si>
  <si>
    <r>
      <t>12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Dec.</t>
    </r>
  </si>
  <si>
    <r>
      <t>當季較上季增減</t>
    </r>
    <r>
      <rPr>
        <sz val="8"/>
        <rFont val="Times New Roman"/>
        <family val="1"/>
      </rPr>
      <t>%
VS. with Last Quarter</t>
    </r>
  </si>
  <si>
    <r>
      <t>當季較上年同季增減</t>
    </r>
    <r>
      <rPr>
        <sz val="8"/>
        <rFont val="Times New Roman"/>
        <family val="1"/>
      </rPr>
      <t>%
VS. with Last Year</t>
    </r>
  </si>
  <si>
    <r>
      <t>說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明：</t>
    </r>
    <r>
      <rPr>
        <sz val="11"/>
        <rFont val="Times New Roman"/>
        <family val="1"/>
      </rPr>
      <t xml:space="preserve">1. </t>
    </r>
    <r>
      <rPr>
        <sz val="11"/>
        <rFont val="標楷體"/>
        <family val="4"/>
      </rPr>
      <t>由於受查者延誤或更正報價，最近三個月資料均有可能修正。</t>
    </r>
  </si>
  <si>
    <r>
      <t xml:space="preserve">                2. </t>
    </r>
    <r>
      <rPr>
        <sz val="11"/>
        <rFont val="標楷體"/>
        <family val="4"/>
      </rPr>
      <t>資料來源：中華民國統計資訊網。</t>
    </r>
  </si>
  <si>
    <t>~47~</t>
  </si>
  <si>
    <t>Population</t>
  </si>
  <si>
    <t xml:space="preserve"> No. of Village</t>
  </si>
  <si>
    <t>No. of Households</t>
  </si>
  <si>
    <t>No. of Households (Person/
Households)</t>
  </si>
  <si>
    <t>Male</t>
  </si>
  <si>
    <t>Female</t>
  </si>
  <si>
    <t>Sex Ratio 
(Male/
Female)*100</t>
  </si>
  <si>
    <t>人口數</t>
  </si>
  <si>
    <t>年季別</t>
  </si>
  <si>
    <t>第一季</t>
  </si>
  <si>
    <t>第二季</t>
  </si>
  <si>
    <t>第三季</t>
  </si>
  <si>
    <t>第四季</t>
  </si>
  <si>
    <t>Year &amp; Quarter</t>
  </si>
  <si>
    <t>八十三年</t>
  </si>
  <si>
    <t>說　　明：因四捨五入之故，資料有些許誤差。</t>
  </si>
  <si>
    <t>~4~</t>
  </si>
  <si>
    <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</si>
  <si>
    <t>戶數</t>
  </si>
  <si>
    <t>合計</t>
  </si>
  <si>
    <t>男</t>
  </si>
  <si>
    <t>女</t>
  </si>
  <si>
    <t xml:space="preserve"> </t>
  </si>
  <si>
    <t>Yilan 
City</t>
  </si>
  <si>
    <t>Jiaosi 
Township</t>
  </si>
  <si>
    <t>年季底別</t>
  </si>
  <si>
    <t>Yuanshan Township</t>
  </si>
  <si>
    <t>五、勞動力與就業</t>
  </si>
  <si>
    <t>~8~</t>
  </si>
  <si>
    <t>Table 5. Labor Force &amp; Employed</t>
  </si>
  <si>
    <r>
      <t>15</t>
    </r>
    <r>
      <rPr>
        <sz val="11"/>
        <rFont val="標楷體"/>
        <family val="4"/>
      </rPr>
      <t>歲以上</t>
    </r>
  </si>
  <si>
    <t>非勞動</t>
  </si>
  <si>
    <t>勞動力</t>
  </si>
  <si>
    <t>失業率</t>
  </si>
  <si>
    <t>民間人口</t>
  </si>
  <si>
    <t>力人口</t>
  </si>
  <si>
    <t>Labor  Force of Population</t>
  </si>
  <si>
    <t>(1)-(2)</t>
  </si>
  <si>
    <t>(2)/(1)*100</t>
  </si>
  <si>
    <t>(4)/(2)*100</t>
  </si>
  <si>
    <t>(1)</t>
  </si>
  <si>
    <t>(%)</t>
  </si>
  <si>
    <t>Civilian Population Aged 15 Year &amp; Over</t>
  </si>
  <si>
    <t>就業者</t>
  </si>
  <si>
    <t>失業者</t>
  </si>
  <si>
    <t>Not in Labor Force</t>
  </si>
  <si>
    <t>(2)</t>
  </si>
  <si>
    <t>(3)</t>
  </si>
  <si>
    <t>(4)</t>
  </si>
  <si>
    <t>上半年</t>
  </si>
  <si>
    <t>1/1~6/30</t>
  </si>
  <si>
    <t>下半年</t>
  </si>
  <si>
    <t>7/1~12/31</t>
  </si>
  <si>
    <t>~9~</t>
  </si>
  <si>
    <t>單位：千人</t>
  </si>
  <si>
    <t>Table 5. Labor Force &amp; Employed (Cont. End)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</si>
  <si>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1000 Persons</t>
    </r>
  </si>
  <si>
    <t>總計</t>
  </si>
  <si>
    <t>農、林、</t>
  </si>
  <si>
    <t>工業</t>
  </si>
  <si>
    <t>服務業</t>
  </si>
  <si>
    <t>Goods-producing Industries</t>
  </si>
  <si>
    <t>Agriculture Forestry, Fishing &amp; Animal Husbandry</t>
  </si>
  <si>
    <t>製造業</t>
  </si>
  <si>
    <t>其他</t>
  </si>
  <si>
    <t>Services-producing Industries</t>
  </si>
  <si>
    <t>Manufacturing</t>
  </si>
  <si>
    <t>Others</t>
  </si>
  <si>
    <t>資料來源：行政院主計處。</t>
  </si>
  <si>
    <t>~10~</t>
  </si>
  <si>
    <t>一、土地與人口</t>
  </si>
  <si>
    <r>
      <t>　　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季底戶數為</t>
    </r>
    <r>
      <rPr>
        <sz val="14"/>
        <rFont val="Times New Roman"/>
        <family val="1"/>
      </rPr>
      <t>154,021</t>
    </r>
    <r>
      <rPr>
        <sz val="14"/>
        <rFont val="標楷體"/>
        <family val="4"/>
      </rPr>
      <t>戶，較上季底增加</t>
    </r>
    <r>
      <rPr>
        <sz val="14"/>
        <rFont val="Times New Roman"/>
        <family val="1"/>
      </rPr>
      <t>365</t>
    </r>
    <r>
      <rPr>
        <sz val="14"/>
        <rFont val="標楷體"/>
        <family val="4"/>
      </rPr>
      <t>戶計</t>
    </r>
    <r>
      <rPr>
        <sz val="14"/>
        <rFont val="Times New Roman"/>
        <family val="1"/>
      </rPr>
      <t>0.24%</t>
    </r>
    <r>
      <rPr>
        <sz val="14"/>
        <rFont val="標楷體"/>
        <family val="4"/>
      </rPr>
      <t>，較去年同季底增加</t>
    </r>
    <r>
      <rPr>
        <sz val="14"/>
        <rFont val="Times New Roman"/>
        <family val="1"/>
      </rPr>
      <t>1.37%</t>
    </r>
    <r>
      <rPr>
        <sz val="14"/>
        <rFont val="標楷體"/>
        <family val="4"/>
      </rPr>
      <t>；人口數為</t>
    </r>
    <r>
      <rPr>
        <sz val="14"/>
        <rFont val="Times New Roman"/>
        <family val="1"/>
      </rPr>
      <t>460,486</t>
    </r>
    <r>
      <rPr>
        <sz val="14"/>
        <rFont val="標楷體"/>
        <family val="4"/>
      </rPr>
      <t>人，較上季底減少</t>
    </r>
    <r>
      <rPr>
        <sz val="14"/>
        <rFont val="Times New Roman"/>
        <family val="1"/>
      </rPr>
      <t>193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-0.04%</t>
    </r>
    <r>
      <rPr>
        <sz val="14"/>
        <rFont val="標楷體"/>
        <family val="4"/>
      </rPr>
      <t>，較去年同季底減少</t>
    </r>
    <r>
      <rPr>
        <sz val="14"/>
        <rFont val="Times New Roman"/>
        <family val="1"/>
      </rPr>
      <t>0.25%</t>
    </r>
    <r>
      <rPr>
        <sz val="14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</si>
  <si>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1. </t>
    </r>
    <r>
      <rPr>
        <sz val="16"/>
        <rFont val="標楷體"/>
        <family val="4"/>
      </rPr>
      <t>土地與人口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</si>
  <si>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</si>
  <si>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</si>
  <si>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</si>
  <si>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</si>
  <si>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</si>
  <si>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</si>
  <si>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</si>
  <si>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</si>
  <si>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</si>
  <si>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</si>
  <si>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r>
      <t>(Km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</si>
  <si>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(Km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</si>
  <si>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合計</t>
  </si>
  <si>
    <t>男</t>
  </si>
  <si>
    <t>女</t>
  </si>
  <si>
    <r>
      <t>(</t>
    </r>
    <r>
      <rPr>
        <sz val="11"/>
        <rFont val="標楷體"/>
        <family val="4"/>
      </rPr>
      <t>男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女</t>
    </r>
    <r>
      <rPr>
        <sz val="11"/>
        <rFont val="Times New Roman"/>
        <family val="1"/>
      </rPr>
      <t>)
*100</t>
    </r>
  </si>
  <si>
    <r>
      <t>(</t>
    </r>
    <r>
      <rPr>
        <sz val="11"/>
        <rFont val="標楷體"/>
        <family val="4"/>
      </rPr>
      <t>男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女</t>
    </r>
    <r>
      <rPr>
        <sz val="11"/>
        <rFont val="Times New Roman"/>
        <family val="1"/>
      </rPr>
      <t>)
*100</t>
    </r>
  </si>
  <si>
    <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</si>
  <si>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</si>
  <si>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/Km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</si>
  <si>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/Km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</si>
  <si>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End of Year &amp;  Quarter</t>
  </si>
  <si>
    <r>
      <t>Area
(Km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</si>
  <si>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Area
(Km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</si>
  <si>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 xml:space="preserve"> No. of Village</t>
  </si>
  <si>
    <t>No. of Households</t>
  </si>
  <si>
    <t>No. of Households (Person/
Households)</t>
  </si>
  <si>
    <r>
      <t xml:space="preserve">Population Density </t>
    </r>
    <r>
      <rPr>
        <sz val="8.5"/>
        <rFont val="Times New Roman"/>
        <family val="1"/>
      </rPr>
      <t>(Person/Km</t>
    </r>
    <r>
      <rPr>
        <vertAlign val="superscript"/>
        <sz val="8.5"/>
        <rFont val="Times New Roman"/>
        <family val="1"/>
      </rPr>
      <t>2</t>
    </r>
    <r>
      <rPr>
        <sz val="8.5"/>
        <rFont val="Times New Roman"/>
        <family val="1"/>
      </rPr>
      <t>)</t>
    </r>
  </si>
  <si>
    <r>
      <t xml:space="preserve">Population Density </t>
    </r>
    <r>
      <rPr>
        <sz val="8.5"/>
        <rFont val="Times New Roman"/>
        <family val="1"/>
      </rPr>
      <t>(Person/Km</t>
    </r>
    <r>
      <rPr>
        <vertAlign val="superscript"/>
        <sz val="8.5"/>
        <rFont val="Times New Roman"/>
        <family val="1"/>
      </rPr>
      <t>2</t>
    </r>
    <r>
      <rPr>
        <sz val="8.5"/>
        <rFont val="Times New Roman"/>
        <family val="1"/>
      </rPr>
      <t>)</t>
    </r>
  </si>
  <si>
    <t>Male</t>
  </si>
  <si>
    <t>Female</t>
  </si>
  <si>
    <t>Sex Ratio 
(Male/
Female)*100</t>
  </si>
  <si>
    <t>八十二年</t>
  </si>
  <si>
    <r>
      <t>八十三年</t>
    </r>
    <r>
      <rPr>
        <sz val="8"/>
        <rFont val="Times New Roman"/>
        <family val="1"/>
      </rPr>
      <t>1994</t>
    </r>
  </si>
  <si>
    <r>
      <t>八十四年</t>
    </r>
    <r>
      <rPr>
        <sz val="8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</si>
  <si>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</si>
  <si>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</si>
  <si>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</si>
  <si>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</si>
  <si>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</si>
  <si>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</si>
  <si>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</si>
  <si>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第一季</t>
    </r>
    <r>
      <rPr>
        <sz val="8"/>
        <rFont val="Times New Roman"/>
        <family val="1"/>
      </rPr>
      <t>1st Qua.</t>
    </r>
  </si>
  <si>
    <r>
      <t>第二季</t>
    </r>
    <r>
      <rPr>
        <sz val="8"/>
        <rFont val="Times New Roman"/>
        <family val="1"/>
      </rPr>
      <t>2nd Qua.</t>
    </r>
  </si>
  <si>
    <r>
      <t>第三季</t>
    </r>
    <r>
      <rPr>
        <sz val="8"/>
        <rFont val="Times New Roman"/>
        <family val="1"/>
      </rPr>
      <t>3rd Qua.</t>
    </r>
  </si>
  <si>
    <r>
      <t>第四季</t>
    </r>
    <r>
      <rPr>
        <sz val="8"/>
        <rFont val="Times New Roman"/>
        <family val="1"/>
      </rPr>
      <t>4th Qua.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</si>
  <si>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</si>
  <si>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</si>
  <si>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</si>
  <si>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</si>
  <si>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</si>
  <si>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</si>
  <si>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</si>
  <si>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</si>
  <si>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</si>
  <si>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</si>
  <si>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</si>
  <si>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</si>
  <si>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</si>
  <si>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</si>
  <si>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</si>
  <si>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color indexed="8"/>
        <rFont val="Times New Roman"/>
        <family val="1"/>
      </rPr>
      <t>99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2010</t>
    </r>
  </si>
  <si>
    <r>
      <t>民國</t>
    </r>
    <r>
      <rPr>
        <sz val="8"/>
        <color indexed="8"/>
        <rFont val="Times New Roman"/>
        <family val="1"/>
      </rPr>
      <t>99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2010</t>
    </r>
  </si>
  <si>
    <r>
      <t>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</rPr>
      <t>季</t>
    </r>
  </si>
  <si>
    <r>
      <t>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</rPr>
      <t>季</t>
    </r>
  </si>
  <si>
    <r>
      <t>當季較上季增減</t>
    </r>
    <r>
      <rPr>
        <sz val="8"/>
        <color indexed="8"/>
        <rFont val="Times New Roman"/>
        <family val="1"/>
      </rPr>
      <t>%</t>
    </r>
  </si>
  <si>
    <r>
      <t>當季較上季增減</t>
    </r>
    <r>
      <rPr>
        <sz val="8"/>
        <color indexed="8"/>
        <rFont val="Times New Roman"/>
        <family val="1"/>
      </rPr>
      <t>%</t>
    </r>
  </si>
  <si>
    <t>增減數</t>
  </si>
  <si>
    <t>VS. with 
Last Quarter</t>
  </si>
  <si>
    <r>
      <t>當季較上年同季增減</t>
    </r>
    <r>
      <rPr>
        <sz val="8"/>
        <color indexed="8"/>
        <rFont val="Times New Roman"/>
        <family val="1"/>
      </rPr>
      <t>%</t>
    </r>
  </si>
  <si>
    <t>VS. with
 Last Year</t>
  </si>
  <si>
    <r>
      <t>資料來源：本府民政處報表</t>
    </r>
    <r>
      <rPr>
        <sz val="11"/>
        <color indexed="8"/>
        <rFont val="Times New Roman"/>
        <family val="1"/>
      </rPr>
      <t>1221-00-01-2</t>
    </r>
    <r>
      <rPr>
        <sz val="11"/>
        <color indexed="8"/>
        <rFont val="標楷體"/>
        <family val="4"/>
      </rPr>
      <t>、</t>
    </r>
    <r>
      <rPr>
        <sz val="11"/>
        <color indexed="8"/>
        <rFont val="Times New Roman"/>
        <family val="1"/>
      </rPr>
      <t>3311-03-01-2</t>
    </r>
    <r>
      <rPr>
        <sz val="11"/>
        <color indexed="8"/>
        <rFont val="標楷體"/>
        <family val="4"/>
      </rPr>
      <t>。</t>
    </r>
  </si>
  <si>
    <t>~1~</t>
  </si>
  <si>
    <t>二、人口動態</t>
  </si>
  <si>
    <r>
      <t>　　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季底人口總數較上季底減少</t>
    </r>
    <r>
      <rPr>
        <sz val="14"/>
        <rFont val="Times New Roman"/>
        <family val="1"/>
      </rPr>
      <t>193</t>
    </r>
    <r>
      <rPr>
        <sz val="14"/>
        <rFont val="標楷體"/>
        <family val="4"/>
      </rPr>
      <t>人，其中自然增加數增加</t>
    </r>
    <r>
      <rPr>
        <sz val="14"/>
        <rFont val="Times New Roman"/>
        <family val="1"/>
      </rPr>
      <t>62</t>
    </r>
    <r>
      <rPr>
        <sz val="14"/>
        <rFont val="標楷體"/>
        <family val="4"/>
      </rPr>
      <t>人(自然增加率</t>
    </r>
    <r>
      <rPr>
        <sz val="14"/>
        <rFont val="Times New Roman"/>
        <family val="1"/>
      </rPr>
      <t>0.13‰</t>
    </r>
    <r>
      <rPr>
        <sz val="14"/>
        <rFont val="標楷體"/>
        <family val="4"/>
      </rPr>
      <t>)，社會增加數減少</t>
    </r>
    <r>
      <rPr>
        <sz val="14"/>
        <rFont val="Times New Roman"/>
        <family val="1"/>
      </rPr>
      <t>255</t>
    </r>
    <r>
      <rPr>
        <sz val="14"/>
        <rFont val="標楷體"/>
        <family val="4"/>
      </rPr>
      <t>人(社會增加率</t>
    </r>
    <r>
      <rPr>
        <sz val="14"/>
        <rFont val="Times New Roman"/>
        <family val="1"/>
      </rPr>
      <t>-0.55‰</t>
    </r>
    <r>
      <rPr>
        <sz val="14"/>
        <rFont val="標楷體"/>
        <family val="4"/>
      </rPr>
      <t>)；本季結婚對數為</t>
    </r>
    <r>
      <rPr>
        <sz val="14"/>
        <rFont val="Times New Roman"/>
        <family val="1"/>
      </rPr>
      <t>691</t>
    </r>
    <r>
      <rPr>
        <sz val="14"/>
        <rFont val="標楷體"/>
        <family val="4"/>
      </rPr>
      <t>對(結婚率</t>
    </r>
    <r>
      <rPr>
        <sz val="14"/>
        <rFont val="Times New Roman"/>
        <family val="1"/>
      </rPr>
      <t>1.50‰</t>
    </r>
    <r>
      <rPr>
        <sz val="14"/>
        <rFont val="標楷體"/>
        <family val="4"/>
      </rPr>
      <t>)，較上季底增加</t>
    </r>
    <r>
      <rPr>
        <sz val="14"/>
        <rFont val="Times New Roman"/>
        <family val="1"/>
      </rPr>
      <t>105</t>
    </r>
    <r>
      <rPr>
        <sz val="14"/>
        <rFont val="標楷體"/>
        <family val="4"/>
      </rPr>
      <t>對，離婚對數為</t>
    </r>
    <r>
      <rPr>
        <sz val="14"/>
        <rFont val="Times New Roman"/>
        <family val="1"/>
      </rPr>
      <t>292</t>
    </r>
    <r>
      <rPr>
        <sz val="14"/>
        <rFont val="標楷體"/>
        <family val="4"/>
      </rPr>
      <t>對(離婚率</t>
    </r>
    <r>
      <rPr>
        <sz val="14"/>
        <rFont val="Times New Roman"/>
        <family val="1"/>
      </rPr>
      <t>0.63‰</t>
    </r>
    <r>
      <rPr>
        <sz val="14"/>
        <rFont val="標楷體"/>
        <family val="4"/>
      </rPr>
      <t>)，較上季減少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對。</t>
    </r>
  </si>
  <si>
    <t>時間(年)</t>
  </si>
  <si>
    <t>期中人口數</t>
  </si>
  <si>
    <t>人口總增加數</t>
  </si>
  <si>
    <t>自然增加數</t>
  </si>
  <si>
    <t>社會增加數</t>
  </si>
  <si>
    <r>
      <t>第4季</t>
    </r>
  </si>
  <si>
    <r>
      <t>99年第1季</t>
    </r>
  </si>
  <si>
    <r>
      <t>第2季</t>
    </r>
  </si>
  <si>
    <r>
      <t>第3季</t>
    </r>
  </si>
  <si>
    <t>一</t>
  </si>
  <si>
    <t>二</t>
  </si>
  <si>
    <t>三</t>
  </si>
  <si>
    <t>四</t>
  </si>
  <si>
    <t>~2~</t>
  </si>
  <si>
    <r>
      <t>表</t>
    </r>
    <r>
      <rPr>
        <sz val="16"/>
        <rFont val="Times New Roman"/>
        <family val="1"/>
      </rPr>
      <t xml:space="preserve">2. </t>
    </r>
    <r>
      <rPr>
        <sz val="16"/>
        <rFont val="標楷體"/>
        <family val="4"/>
      </rPr>
      <t>人口動態</t>
    </r>
  </si>
  <si>
    <t>Table 2. Mobility Status of Population</t>
  </si>
  <si>
    <t>年季別</t>
  </si>
  <si>
    <t>人口總
增加數</t>
  </si>
  <si>
    <t>自然增加</t>
  </si>
  <si>
    <t>社會增加</t>
  </si>
  <si>
    <t>結婚</t>
  </si>
  <si>
    <t>離婚</t>
  </si>
  <si>
    <t>Natural Increase</t>
  </si>
  <si>
    <t>Social Increase</t>
  </si>
  <si>
    <r>
      <t>對數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對</t>
    </r>
    <r>
      <rPr>
        <sz val="11"/>
        <rFont val="Times New Roman"/>
        <family val="1"/>
      </rPr>
      <t>)</t>
    </r>
  </si>
  <si>
    <t>Year &amp;  Quarter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</si>
  <si>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</si>
  <si>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</si>
  <si>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</si>
  <si>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</si>
  <si>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</si>
  <si>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</si>
  <si>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</si>
  <si>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r>
      <t>八十三年</t>
    </r>
    <r>
      <rPr>
        <sz val="11"/>
        <rFont val="Times New Roman"/>
        <family val="1"/>
      </rPr>
      <t>1994</t>
    </r>
  </si>
  <si>
    <r>
      <t>八十四年</t>
    </r>
    <r>
      <rPr>
        <sz val="11"/>
        <rFont val="Times New Roman"/>
        <family val="1"/>
      </rPr>
      <t>1995</t>
    </r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</si>
  <si>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</si>
  <si>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</si>
  <si>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</si>
  <si>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</si>
  <si>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</si>
  <si>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</si>
  <si>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</si>
  <si>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</si>
  <si>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</si>
  <si>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</si>
  <si>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</si>
  <si>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</si>
  <si>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</si>
  <si>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</si>
  <si>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</si>
  <si>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</si>
  <si>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</si>
  <si>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</si>
  <si>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</si>
  <si>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</si>
  <si>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r>
      <t>資料來源：本府民政處報表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。</t>
    </r>
  </si>
  <si>
    <r>
      <t>資料來源：本府民政處報表</t>
    </r>
    <r>
      <rPr>
        <sz val="11"/>
        <rFont val="Times New Roman"/>
        <family val="1"/>
      </rPr>
      <t>1221-00-01-2</t>
    </r>
    <r>
      <rPr>
        <sz val="11"/>
        <rFont val="標楷體"/>
        <family val="4"/>
      </rPr>
      <t>。</t>
    </r>
  </si>
  <si>
    <t>~3~</t>
  </si>
  <si>
    <r>
      <t>表</t>
    </r>
    <r>
      <rPr>
        <sz val="16"/>
        <rFont val="Times New Roman"/>
        <family val="1"/>
      </rPr>
      <t xml:space="preserve">2. </t>
    </r>
    <r>
      <rPr>
        <sz val="16"/>
        <rFont val="標楷體"/>
        <family val="4"/>
      </rPr>
      <t>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</si>
  <si>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>單位：</t>
    </r>
    <r>
      <rPr>
        <sz val="10"/>
        <rFont val="Times New Roman"/>
        <family val="1"/>
      </rPr>
      <t>‰</t>
    </r>
  </si>
  <si>
    <t xml:space="preserve">Table 2. Mobility Status of Population (Cont. End)          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</si>
  <si>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‰</t>
    </r>
  </si>
  <si>
    <t>人口總
增加率</t>
  </si>
  <si>
    <t>率</t>
  </si>
  <si>
    <t>Year &amp; Quarter</t>
  </si>
  <si>
    <t>增加率</t>
  </si>
  <si>
    <t>出生率</t>
  </si>
  <si>
    <t>死亡率</t>
  </si>
  <si>
    <t>遷入率</t>
  </si>
  <si>
    <t>遷出率</t>
  </si>
  <si>
    <t>Married Couple Rate</t>
  </si>
  <si>
    <t xml:space="preserve"> Divorce Couple Rate</t>
  </si>
  <si>
    <t>Birth Rate</t>
  </si>
  <si>
    <t>Death Rate</t>
  </si>
  <si>
    <t>Immigrants Rate</t>
  </si>
  <si>
    <t>Emigrants Rate</t>
  </si>
  <si>
    <t>八十三年</t>
  </si>
  <si>
    <t>三、各鄉鎮市土地與人口</t>
  </si>
  <si>
    <r>
      <t>　　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月底各行政區域人口數以宜蘭市的</t>
    </r>
    <r>
      <rPr>
        <sz val="14"/>
        <rFont val="Times New Roman"/>
        <family val="1"/>
      </rPr>
      <t>95,568</t>
    </r>
    <r>
      <rPr>
        <sz val="14"/>
        <rFont val="標楷體"/>
        <family val="4"/>
      </rPr>
      <t>人最多，最少為大同鄉的</t>
    </r>
    <r>
      <rPr>
        <sz val="14"/>
        <rFont val="Times New Roman"/>
        <family val="1"/>
      </rPr>
      <t>5,987</t>
    </r>
    <r>
      <rPr>
        <sz val="14"/>
        <rFont val="標楷體"/>
        <family val="4"/>
      </rPr>
      <t>人；本縣性比例為</t>
    </r>
    <r>
      <rPr>
        <sz val="14"/>
        <rFont val="Times New Roman"/>
        <family val="1"/>
      </rPr>
      <t>103.93</t>
    </r>
    <r>
      <rPr>
        <sz val="14"/>
        <rFont val="標楷體"/>
        <family val="4"/>
      </rPr>
      <t>，僅宜蘭市與羅東鎮的性比例低於</t>
    </r>
    <r>
      <rPr>
        <sz val="14"/>
        <rFont val="Times New Roman"/>
        <family val="1"/>
      </rPr>
      <t>100</t>
    </r>
    <r>
      <rPr>
        <sz val="14"/>
        <rFont val="標楷體"/>
        <family val="4"/>
      </rPr>
      <t>；本縣人口密度約</t>
    </r>
    <r>
      <rPr>
        <sz val="14"/>
        <rFont val="Times New Roman"/>
        <family val="1"/>
      </rPr>
      <t>215</t>
    </r>
    <r>
      <rPr>
        <sz val="14"/>
        <rFont val="標楷體"/>
        <family val="4"/>
      </rPr>
      <t>人，以羅東鎮的每平方公里</t>
    </r>
    <r>
      <rPr>
        <sz val="14"/>
        <rFont val="Times New Roman"/>
        <family val="1"/>
      </rPr>
      <t>6,431</t>
    </r>
    <r>
      <rPr>
        <sz val="14"/>
        <rFont val="標楷體"/>
        <family val="4"/>
      </rPr>
      <t>人最多，而南澳鄉每平方公里僅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人為最少，兩者相差達</t>
    </r>
    <r>
      <rPr>
        <sz val="14"/>
        <rFont val="Times New Roman"/>
        <family val="1"/>
      </rPr>
      <t>804</t>
    </r>
    <r>
      <rPr>
        <sz val="14"/>
        <rFont val="標楷體"/>
        <family val="4"/>
      </rPr>
      <t>倍，分布極為不均。</t>
    </r>
  </si>
  <si>
    <r>
      <t>表</t>
    </r>
    <r>
      <rPr>
        <sz val="16"/>
        <rFont val="Times New Roman"/>
        <family val="1"/>
      </rPr>
      <t xml:space="preserve">3. </t>
    </r>
    <r>
      <rPr>
        <sz val="16"/>
        <rFont val="標楷體"/>
        <family val="4"/>
      </rPr>
      <t>各鄉鎮市土地與人口</t>
    </r>
  </si>
  <si>
    <t>九、社會福利</t>
  </si>
  <si>
    <r>
      <t>　　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季低收入戶生活扶助計</t>
    </r>
    <r>
      <rPr>
        <sz val="14"/>
        <rFont val="Times New Roman"/>
        <family val="1"/>
      </rPr>
      <t>3,104</t>
    </r>
    <r>
      <rPr>
        <sz val="14"/>
        <rFont val="標楷體"/>
        <family val="4"/>
      </rPr>
      <t>戶及</t>
    </r>
    <r>
      <rPr>
        <sz val="14"/>
        <rFont val="Times New Roman"/>
        <family val="1"/>
      </rPr>
      <t>7,651</t>
    </r>
    <r>
      <rPr>
        <sz val="14"/>
        <rFont val="標楷體"/>
        <family val="4"/>
      </rPr>
      <t>人，較上季減少</t>
    </r>
    <r>
      <rPr>
        <sz val="14"/>
        <rFont val="Times New Roman"/>
        <family val="1"/>
      </rPr>
      <t>7</t>
    </r>
    <r>
      <rPr>
        <sz val="14"/>
        <rFont val="標楷體"/>
        <family val="4"/>
      </rPr>
      <t>戶計</t>
    </r>
    <r>
      <rPr>
        <sz val="14"/>
        <rFont val="Times New Roman"/>
        <family val="1"/>
      </rPr>
      <t>-0.23%</t>
    </r>
    <r>
      <rPr>
        <sz val="14"/>
        <rFont val="標楷體"/>
        <family val="4"/>
      </rPr>
      <t>及減少</t>
    </r>
    <r>
      <rPr>
        <sz val="14"/>
        <rFont val="Times New Roman"/>
        <family val="1"/>
      </rPr>
      <t>42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-0.55%</t>
    </r>
    <r>
      <rPr>
        <sz val="14"/>
        <rFont val="標楷體"/>
        <family val="4"/>
      </rPr>
      <t>，生活扶助金額為</t>
    </r>
    <r>
      <rPr>
        <sz val="14"/>
        <rFont val="Times New Roman"/>
        <family val="1"/>
      </rPr>
      <t>51,127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10,784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26.73%</t>
    </r>
    <r>
      <rPr>
        <sz val="14"/>
        <rFont val="標楷體"/>
        <family val="4"/>
      </rPr>
      <t>；社會救助醫療及看護補助</t>
    </r>
    <r>
      <rPr>
        <sz val="14"/>
        <rFont val="Times New Roman"/>
        <family val="1"/>
      </rPr>
      <t>3,461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75</t>
    </r>
    <r>
      <rPr>
        <sz val="14"/>
        <rFont val="標楷體"/>
        <family val="4"/>
      </rPr>
      <t>千元；縣民急難救助計</t>
    </r>
    <r>
      <rPr>
        <sz val="14"/>
        <rFont val="Times New Roman"/>
        <family val="1"/>
      </rPr>
      <t>161</t>
    </r>
    <r>
      <rPr>
        <sz val="14"/>
        <rFont val="標楷體"/>
        <family val="4"/>
      </rPr>
      <t>人次，較上季減少</t>
    </r>
    <r>
      <rPr>
        <sz val="14"/>
        <rFont val="Times New Roman"/>
        <family val="1"/>
      </rPr>
      <t>29</t>
    </r>
    <r>
      <rPr>
        <sz val="14"/>
        <rFont val="標楷體"/>
        <family val="4"/>
      </rPr>
      <t>人次計</t>
    </r>
    <r>
      <rPr>
        <sz val="14"/>
        <rFont val="Times New Roman"/>
        <family val="1"/>
      </rPr>
      <t>-15.26%</t>
    </r>
    <r>
      <rPr>
        <sz val="14"/>
        <rFont val="標楷體"/>
        <family val="4"/>
      </rPr>
      <t>，其救助金</t>
    </r>
    <r>
      <rPr>
        <sz val="14"/>
        <rFont val="Times New Roman"/>
        <family val="1"/>
      </rPr>
      <t>596</t>
    </r>
    <r>
      <rPr>
        <sz val="14"/>
        <rFont val="標楷體"/>
        <family val="4"/>
      </rPr>
      <t>千元，較上季減少</t>
    </r>
    <r>
      <rPr>
        <sz val="14"/>
        <rFont val="Times New Roman"/>
        <family val="1"/>
      </rPr>
      <t>129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-17.77%</t>
    </r>
    <r>
      <rPr>
        <sz val="14"/>
        <rFont val="標楷體"/>
        <family val="4"/>
      </rPr>
      <t>；中低收入戶老人生活津貼核付</t>
    </r>
    <r>
      <rPr>
        <sz val="14"/>
        <rFont val="Times New Roman"/>
        <family val="1"/>
      </rPr>
      <t>1,735</t>
    </r>
    <r>
      <rPr>
        <sz val="14"/>
        <rFont val="標楷體"/>
        <family val="4"/>
      </rPr>
      <t>人、</t>
    </r>
    <r>
      <rPr>
        <sz val="14"/>
        <rFont val="Times New Roman"/>
        <family val="1"/>
      </rPr>
      <t>29,706</t>
    </r>
    <r>
      <rPr>
        <sz val="14"/>
        <rFont val="標楷體"/>
        <family val="4"/>
      </rPr>
      <t>千元，較上季分別減少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人計</t>
    </r>
    <r>
      <rPr>
        <sz val="14"/>
        <rFont val="Times New Roman"/>
        <family val="1"/>
      </rPr>
      <t>-0.63%</t>
    </r>
    <r>
      <rPr>
        <sz val="14"/>
        <rFont val="標楷體"/>
        <family val="4"/>
      </rPr>
      <t>及減少</t>
    </r>
    <r>
      <rPr>
        <sz val="14"/>
        <rFont val="Times New Roman"/>
        <family val="1"/>
      </rPr>
      <t>30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-0.10%</t>
    </r>
    <r>
      <rPr>
        <sz val="14"/>
        <rFont val="標楷體"/>
        <family val="4"/>
      </rPr>
      <t>。</t>
    </r>
  </si>
  <si>
    <t>時間(年)</t>
  </si>
  <si>
    <t>低收入戶補助</t>
  </si>
  <si>
    <t>中低收入戶老人生活津貼</t>
  </si>
  <si>
    <r>
      <t>98第4季</t>
    </r>
  </si>
  <si>
    <r>
      <t>99第1季</t>
    </r>
  </si>
  <si>
    <r>
      <t>第2季</t>
    </r>
  </si>
  <si>
    <r>
      <t>第3季</t>
    </r>
  </si>
  <si>
    <t>第4季</t>
  </si>
  <si>
    <t>社會救助醫療補助</t>
  </si>
  <si>
    <t>縣民急難救助</t>
  </si>
  <si>
    <r>
      <t>第4季</t>
    </r>
  </si>
  <si>
    <t>~20~</t>
  </si>
  <si>
    <r>
      <t>表</t>
    </r>
    <r>
      <rPr>
        <sz val="16"/>
        <rFont val="Times New Roman"/>
        <family val="1"/>
      </rPr>
      <t xml:space="preserve">9. </t>
    </r>
    <r>
      <rPr>
        <sz val="16"/>
        <rFont val="標楷體"/>
        <family val="4"/>
      </rPr>
      <t>社會福利</t>
    </r>
  </si>
  <si>
    <r>
      <t>表</t>
    </r>
    <r>
      <rPr>
        <sz val="16"/>
        <rFont val="Times New Roman"/>
        <family val="1"/>
      </rPr>
      <t xml:space="preserve">9. </t>
    </r>
    <r>
      <rPr>
        <sz val="16"/>
        <rFont val="標楷體"/>
        <family val="4"/>
      </rPr>
      <t>社會福利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</si>
  <si>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9. Social Affairs</t>
  </si>
  <si>
    <t>Table 9. Social Affairs (Cont. End)</t>
  </si>
  <si>
    <t>年季別</t>
  </si>
  <si>
    <r>
      <t>低收入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戶概況</t>
    </r>
  </si>
  <si>
    <t>社會救助醫療及看護補助</t>
  </si>
  <si>
    <t>兒童少年福利服務</t>
  </si>
  <si>
    <t>中低收入戶</t>
  </si>
  <si>
    <t>老人生活津貼</t>
  </si>
  <si>
    <t xml:space="preserve">Low Income Household </t>
  </si>
  <si>
    <t xml:space="preserve">Social Assistance for the Medical Charge and Caretaker  </t>
  </si>
  <si>
    <t>The Child Welfare Service</t>
  </si>
  <si>
    <t>Year &amp;  Quarter</t>
  </si>
  <si>
    <t>戶數</t>
  </si>
  <si>
    <t>人數</t>
  </si>
  <si>
    <t>費用補助</t>
  </si>
  <si>
    <t>住院</t>
  </si>
  <si>
    <t>Year &amp; Quarter</t>
  </si>
  <si>
    <t>人次</t>
  </si>
  <si>
    <t>金額</t>
  </si>
  <si>
    <t>寄養家庭數</t>
  </si>
  <si>
    <t>寄養兒童數</t>
  </si>
  <si>
    <t>保護專線</t>
  </si>
  <si>
    <r>
      <t>金額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千元</t>
    </r>
    <r>
      <rPr>
        <sz val="11"/>
        <rFont val="Times New Roman"/>
        <family val="1"/>
      </rPr>
      <t>)</t>
    </r>
  </si>
  <si>
    <t>總日數</t>
  </si>
  <si>
    <r>
      <t>(</t>
    </r>
    <r>
      <rPr>
        <sz val="11"/>
        <rFont val="標楷體"/>
        <family val="4"/>
      </rPr>
      <t>千元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</si>
  <si>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年季底</t>
    </r>
    <r>
      <rPr>
        <sz val="11"/>
        <rFont val="Times New Roman"/>
        <family val="1"/>
      </rPr>
      <t>)</t>
    </r>
  </si>
  <si>
    <t>服務人次</t>
  </si>
  <si>
    <t>No. of  Households</t>
  </si>
  <si>
    <t>No. of  Persons</t>
  </si>
  <si>
    <t>Amount  (Thousand)</t>
  </si>
  <si>
    <t>No. of Inpatients</t>
  </si>
  <si>
    <t>Inpatient-days</t>
  </si>
  <si>
    <t>No. of Family</t>
  </si>
  <si>
    <t>No. of Children</t>
  </si>
  <si>
    <t>Persons</t>
  </si>
  <si>
    <t>Line Served</t>
  </si>
  <si>
    <t>八十三年</t>
  </si>
  <si>
    <t>…</t>
  </si>
  <si>
    <r>
      <t>（</t>
    </r>
    <r>
      <rPr>
        <sz val="12"/>
        <rFont val="Times New Roman"/>
        <family val="1"/>
      </rPr>
      <t>No. of Lines</t>
    </r>
    <r>
      <rPr>
        <sz val="12"/>
        <rFont val="標楷體"/>
        <family val="4"/>
      </rPr>
      <t>）</t>
    </r>
  </si>
  <si>
    <r>
      <t>八十四年</t>
    </r>
    <r>
      <rPr>
        <sz val="11"/>
        <rFont val="Times New Roman"/>
        <family val="1"/>
      </rPr>
      <t>1995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</si>
  <si>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1996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</si>
  <si>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1997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</si>
  <si>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1998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</si>
  <si>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</si>
  <si>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</si>
  <si>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</si>
  <si>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2002</t>
    </r>
  </si>
  <si>
    <t>第一季</t>
  </si>
  <si>
    <t>第二季</t>
  </si>
  <si>
    <t>第三季</t>
  </si>
  <si>
    <t>第四季</t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</si>
  <si>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2003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</si>
  <si>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</si>
  <si>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</si>
  <si>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</si>
  <si>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季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</si>
  <si>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季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</si>
  <si>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</si>
  <si>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</si>
  <si>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</si>
  <si>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</si>
  <si>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2009</t>
    </r>
  </si>
  <si>
    <r>
      <t>民國</t>
    </r>
    <r>
      <rPr>
        <sz val="8"/>
        <color indexed="8"/>
        <rFont val="Times New Roman"/>
        <family val="1"/>
      </rPr>
      <t>99</t>
    </r>
    <r>
      <rPr>
        <sz val="8"/>
        <color indexed="8"/>
        <rFont val="標楷體"/>
        <family val="4"/>
      </rPr>
      <t>年</t>
    </r>
    <r>
      <rPr>
        <sz val="8"/>
        <color indexed="8"/>
        <rFont val="Times New Roman"/>
        <family val="1"/>
      </rPr>
      <t>2010</t>
    </r>
  </si>
  <si>
    <r>
      <t>第</t>
    </r>
    <r>
      <rPr>
        <sz val="8"/>
        <color indexed="8"/>
        <rFont val="Times New Roman"/>
        <family val="1"/>
      </rPr>
      <t>1</t>
    </r>
    <r>
      <rPr>
        <sz val="8"/>
        <color indexed="8"/>
        <rFont val="標楷體"/>
        <family val="4"/>
      </rPr>
      <t>季</t>
    </r>
  </si>
  <si>
    <t>2nd Qua.</t>
  </si>
  <si>
    <r>
      <t>當季較上季增減</t>
    </r>
    <r>
      <rPr>
        <sz val="8"/>
        <color indexed="8"/>
        <rFont val="Times New Roman"/>
        <family val="1"/>
      </rPr>
      <t>%</t>
    </r>
  </si>
  <si>
    <r>
      <t>當季較上季增減</t>
    </r>
    <r>
      <rPr>
        <sz val="8"/>
        <rFont val="Times New Roman"/>
        <family val="1"/>
      </rPr>
      <t>%</t>
    </r>
  </si>
  <si>
    <t>VS. with Last Quarter</t>
  </si>
  <si>
    <r>
      <t>當季較上年同季增減</t>
    </r>
    <r>
      <rPr>
        <sz val="8"/>
        <color indexed="8"/>
        <rFont val="Times New Roman"/>
        <family val="1"/>
      </rPr>
      <t>%</t>
    </r>
  </si>
  <si>
    <r>
      <t>當季較上年同季增減</t>
    </r>
    <r>
      <rPr>
        <sz val="8"/>
        <rFont val="Times New Roman"/>
        <family val="1"/>
      </rPr>
      <t>%</t>
    </r>
  </si>
  <si>
    <t>VS. with Last Year</t>
  </si>
  <si>
    <t>資料來源：本府社會處。</t>
  </si>
  <si>
    <t>說　　明：有關低收入戶概況的人、戶數漸增而金額不增係內政部放寬低收入戶條件，但部分</t>
  </si>
  <si>
    <t>說　　明：兒童服務寄養家庭數不含儲備寄養家庭數。</t>
  </si>
  <si>
    <r>
      <t xml:space="preserve">                    </t>
    </r>
    <r>
      <rPr>
        <sz val="11"/>
        <rFont val="標楷體"/>
        <family val="4"/>
      </rPr>
      <t>低收入戶直接安置於安養收容中心，由該中心負責其生活補助，故金額不增。</t>
    </r>
  </si>
  <si>
    <t>~21~</t>
  </si>
  <si>
    <t>~22~</t>
  </si>
  <si>
    <r>
      <t xml:space="preserve">        </t>
    </r>
    <r>
      <rPr>
        <sz val="14"/>
        <rFont val="標楷體"/>
        <family val="4"/>
      </rPr>
      <t>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季交通事故發生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件，人員死傷</t>
    </r>
    <r>
      <rPr>
        <sz val="14"/>
        <rFont val="Times New Roman"/>
        <family val="1"/>
      </rPr>
      <t>16</t>
    </r>
    <r>
      <rPr>
        <sz val="14"/>
        <rFont val="標楷體"/>
        <family val="4"/>
      </rPr>
      <t>人，分別較上季減少</t>
    </r>
    <r>
      <rPr>
        <sz val="14"/>
        <rFont val="Times New Roman"/>
        <family val="1"/>
      </rPr>
      <t>35.29%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33.33%</t>
    </r>
    <r>
      <rPr>
        <sz val="14"/>
        <rFont val="標楷體"/>
        <family val="4"/>
      </rPr>
      <t>；交通事故發生數與去年同季比較則減少</t>
    </r>
    <r>
      <rPr>
        <sz val="14"/>
        <rFont val="Times New Roman"/>
        <family val="1"/>
      </rPr>
      <t>47.62%</t>
    </r>
    <r>
      <rPr>
        <sz val="14"/>
        <rFont val="標楷體"/>
        <family val="4"/>
      </rPr>
      <t>。平均每日交通事故為</t>
    </r>
    <r>
      <rPr>
        <sz val="14"/>
        <rFont val="Times New Roman"/>
        <family val="1"/>
      </rPr>
      <t>0.12</t>
    </r>
    <r>
      <rPr>
        <sz val="14"/>
        <rFont val="標楷體"/>
        <family val="4"/>
      </rPr>
      <t>件；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件交通事故中</t>
    </r>
    <r>
      <rPr>
        <sz val="14"/>
        <color indexed="8"/>
        <rFont val="標楷體"/>
        <family val="4"/>
      </rPr>
      <t>，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</rPr>
      <t>件均為駕駛過失</t>
    </r>
    <r>
      <rPr>
        <sz val="14"/>
        <rFont val="標楷體"/>
        <family val="4"/>
      </rPr>
      <t>。</t>
    </r>
  </si>
  <si>
    <r>
      <t xml:space="preserve">    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季共發生刑事案件</t>
    </r>
    <r>
      <rPr>
        <sz val="14"/>
        <rFont val="Times New Roman"/>
        <family val="1"/>
      </rPr>
      <t>1,251</t>
    </r>
    <r>
      <rPr>
        <sz val="14"/>
        <rFont val="標楷體"/>
        <family val="4"/>
      </rPr>
      <t>件，違反社會秩序維護法案件</t>
    </r>
    <r>
      <rPr>
        <sz val="14"/>
        <rFont val="Times New Roman"/>
        <family val="1"/>
      </rPr>
      <t>37</t>
    </r>
    <r>
      <rPr>
        <sz val="14"/>
        <rFont val="標楷體"/>
        <family val="4"/>
      </rPr>
      <t>件，經濟案件</t>
    </r>
    <r>
      <rPr>
        <sz val="14"/>
        <rFont val="Times New Roman"/>
        <family val="1"/>
      </rPr>
      <t>14</t>
    </r>
    <r>
      <rPr>
        <sz val="14"/>
        <rFont val="標楷體"/>
        <family val="4"/>
      </rPr>
      <t>件，分別較上季減少</t>
    </r>
    <r>
      <rPr>
        <sz val="14"/>
        <rFont val="Times New Roman"/>
        <family val="1"/>
      </rPr>
      <t>200</t>
    </r>
    <r>
      <rPr>
        <sz val="14"/>
        <rFont val="標楷體"/>
        <family val="4"/>
      </rPr>
      <t>件計</t>
    </r>
    <r>
      <rPr>
        <sz val="14"/>
        <rFont val="Times New Roman"/>
        <family val="1"/>
      </rPr>
      <t>-13.78%</t>
    </r>
    <r>
      <rPr>
        <sz val="14"/>
        <rFont val="標楷體"/>
        <family val="4"/>
      </rPr>
      <t>、減少</t>
    </r>
    <r>
      <rPr>
        <sz val="14"/>
        <rFont val="Times New Roman"/>
        <family val="1"/>
      </rPr>
      <t>97</t>
    </r>
    <r>
      <rPr>
        <sz val="14"/>
        <rFont val="標楷體"/>
        <family val="4"/>
      </rPr>
      <t>件計</t>
    </r>
    <r>
      <rPr>
        <sz val="14"/>
        <rFont val="Times New Roman"/>
        <family val="1"/>
      </rPr>
      <t>-72.39%</t>
    </r>
    <r>
      <rPr>
        <sz val="14"/>
        <rFont val="標楷體"/>
        <family val="4"/>
      </rPr>
      <t>、減少</t>
    </r>
    <r>
      <rPr>
        <sz val="14"/>
        <rFont val="Times New Roman"/>
        <family val="1"/>
      </rPr>
      <t>8</t>
    </r>
    <r>
      <rPr>
        <sz val="14"/>
        <rFont val="標楷體"/>
        <family val="4"/>
      </rPr>
      <t>件計</t>
    </r>
    <r>
      <rPr>
        <sz val="14"/>
        <rFont val="Times New Roman"/>
        <family val="1"/>
      </rPr>
      <t>-36.36%</t>
    </r>
    <r>
      <rPr>
        <sz val="14"/>
        <rFont val="標楷體"/>
        <family val="4"/>
      </rPr>
      <t>；與去年同季比較則分別減少</t>
    </r>
    <r>
      <rPr>
        <sz val="14"/>
        <rFont val="Times New Roman"/>
        <family val="1"/>
      </rPr>
      <t>2.95%</t>
    </r>
    <r>
      <rPr>
        <sz val="14"/>
        <rFont val="標楷體"/>
        <family val="4"/>
      </rPr>
      <t>、減少</t>
    </r>
    <r>
      <rPr>
        <sz val="14"/>
        <rFont val="Times New Roman"/>
        <family val="1"/>
      </rPr>
      <t>0%</t>
    </r>
    <r>
      <rPr>
        <sz val="14"/>
        <rFont val="標楷體"/>
        <family val="4"/>
      </rPr>
      <t>、減少</t>
    </r>
    <r>
      <rPr>
        <sz val="14"/>
        <rFont val="Times New Roman"/>
        <family val="1"/>
      </rPr>
      <t>53.33%</t>
    </r>
    <r>
      <rPr>
        <sz val="14"/>
        <rFont val="標楷體"/>
        <family val="4"/>
      </rPr>
      <t>；近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年來犯罪率以</t>
    </r>
    <r>
      <rPr>
        <sz val="14"/>
        <rFont val="Times New Roman"/>
        <family val="1"/>
      </rPr>
      <t>94</t>
    </r>
    <r>
      <rPr>
        <sz val="14"/>
        <rFont val="標楷體"/>
        <family val="4"/>
      </rPr>
      <t>年達高峰，計</t>
    </r>
    <r>
      <rPr>
        <sz val="14"/>
        <rFont val="Times New Roman"/>
        <family val="1"/>
      </rPr>
      <t>1,783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十萬人口，往後年度則呈現下降趨勢。</t>
    </r>
  </si>
  <si>
    <t>99年度</t>
  </si>
  <si>
    <r>
      <t>　　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</t>
    </r>
    <r>
      <rPr>
        <sz val="14"/>
        <rFont val="標楷體"/>
        <family val="4"/>
      </rPr>
      <t>營利事業銷售額比例，以批發零售業占</t>
    </r>
    <r>
      <rPr>
        <sz val="14"/>
        <rFont val="Times New Roman"/>
        <family val="1"/>
      </rPr>
      <t>41.18%</t>
    </r>
    <r>
      <rPr>
        <sz val="14"/>
        <rFont val="標楷體"/>
        <family val="4"/>
      </rPr>
      <t>最高，製造業占</t>
    </r>
    <r>
      <rPr>
        <sz val="14"/>
        <rFont val="Times New Roman"/>
        <family val="1"/>
      </rPr>
      <t>28.35%</t>
    </r>
    <r>
      <rPr>
        <sz val="14"/>
        <rFont val="標楷體"/>
        <family val="4"/>
      </rPr>
      <t>次之，再次為其他占</t>
    </r>
    <r>
      <rPr>
        <sz val="14"/>
        <rFont val="Times New Roman"/>
        <family val="1"/>
      </rPr>
      <t>11.70%</t>
    </r>
    <r>
      <rPr>
        <sz val="14"/>
        <rFont val="標楷體"/>
        <family val="4"/>
      </rPr>
      <t>；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月底營利事業總家數為</t>
    </r>
    <r>
      <rPr>
        <sz val="14"/>
        <rFont val="Times New Roman"/>
        <family val="1"/>
      </rPr>
      <t>25,033</t>
    </r>
    <r>
      <rPr>
        <sz val="14"/>
        <rFont val="標楷體"/>
        <family val="4"/>
      </rPr>
      <t>家、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9-12</t>
    </r>
    <r>
      <rPr>
        <sz val="14"/>
        <rFont val="標楷體"/>
        <family val="4"/>
      </rPr>
      <t>月銷售額為</t>
    </r>
    <r>
      <rPr>
        <sz val="14"/>
        <rFont val="Times New Roman"/>
        <family val="1"/>
      </rPr>
      <t>832</t>
    </r>
    <r>
      <rPr>
        <sz val="14"/>
        <rFont val="標楷體"/>
        <family val="4"/>
      </rPr>
      <t>億</t>
    </r>
    <r>
      <rPr>
        <sz val="14"/>
        <rFont val="Times New Roman"/>
        <family val="1"/>
      </rPr>
      <t>8,289</t>
    </r>
    <r>
      <rPr>
        <sz val="14"/>
        <rFont val="標楷體"/>
        <family val="4"/>
      </rPr>
      <t>萬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千元；分別較去年同期增加</t>
    </r>
    <r>
      <rPr>
        <sz val="14"/>
        <rFont val="Times New Roman"/>
        <family val="1"/>
      </rPr>
      <t>1.57%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9.66%</t>
    </r>
    <r>
      <rPr>
        <sz val="14"/>
        <rFont val="標楷體"/>
        <family val="4"/>
      </rPr>
      <t>。</t>
    </r>
  </si>
  <si>
    <t>Table 3. District Land &amp; Population</t>
  </si>
  <si>
    <t>鄉鎮市別</t>
  </si>
  <si>
    <t>土地</t>
  </si>
  <si>
    <t>村里數</t>
  </si>
  <si>
    <t>性比例</t>
  </si>
  <si>
    <t>戶量</t>
  </si>
  <si>
    <t>人口</t>
  </si>
  <si>
    <t>District</t>
  </si>
  <si>
    <t>宜蘭市</t>
  </si>
  <si>
    <t>Luodong Township</t>
  </si>
  <si>
    <t>Suao Township</t>
  </si>
  <si>
    <t xml:space="preserve">Toucheng Township </t>
  </si>
  <si>
    <t>礁溪鄉</t>
  </si>
  <si>
    <t>Jiaosi
Township</t>
  </si>
  <si>
    <t>~5~</t>
  </si>
  <si>
    <t>四、各鄉鎮市人口趨勢</t>
  </si>
  <si>
    <r>
      <t>　　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季底各行政區域的人口數與上季底比較，增加率最多為冬山鄉計</t>
    </r>
    <r>
      <rPr>
        <sz val="14"/>
        <rFont val="Times New Roman"/>
        <family val="1"/>
      </rPr>
      <t>0.29%</t>
    </r>
    <r>
      <rPr>
        <sz val="14"/>
        <rFont val="標楷體"/>
        <family val="4"/>
      </rPr>
      <t>，減少率最多為大同鄉計</t>
    </r>
    <r>
      <rPr>
        <sz val="14"/>
        <rFont val="Times New Roman"/>
        <family val="1"/>
      </rPr>
      <t>-0.42%</t>
    </r>
    <r>
      <rPr>
        <sz val="14"/>
        <rFont val="標楷體"/>
        <family val="4"/>
      </rPr>
      <t>；與去年同季底比較，增加率最多為冬山鄉計</t>
    </r>
    <r>
      <rPr>
        <sz val="14"/>
        <rFont val="Times New Roman"/>
        <family val="1"/>
      </rPr>
      <t>0.58%</t>
    </r>
    <r>
      <rPr>
        <sz val="14"/>
        <rFont val="標楷體"/>
        <family val="4"/>
      </rPr>
      <t>，減少率最多為三星鄉計</t>
    </r>
    <r>
      <rPr>
        <sz val="14"/>
        <rFont val="Times New Roman"/>
        <family val="1"/>
      </rPr>
      <t>-1.60%</t>
    </r>
    <r>
      <rPr>
        <sz val="14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</si>
  <si>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 xml:space="preserve">4. </t>
    </r>
    <r>
      <rPr>
        <sz val="16"/>
        <rFont val="標楷體"/>
        <family val="4"/>
      </rPr>
      <t>各鄉鎮市人口趨勢</t>
    </r>
  </si>
  <si>
    <t xml:space="preserve">Table 4. Trend of District Population </t>
  </si>
  <si>
    <t>End of Year &amp; Quarter</t>
  </si>
  <si>
    <t>Suao 
Township</t>
  </si>
  <si>
    <t>VS. with 
Last Quarter</t>
  </si>
  <si>
    <r>
      <t>當季較上年同季增減</t>
    </r>
    <r>
      <rPr>
        <sz val="8"/>
        <color indexed="8"/>
        <rFont val="Times New Roman"/>
        <family val="1"/>
      </rPr>
      <t>%</t>
    </r>
  </si>
  <si>
    <t>VS. with 
Last Year</t>
  </si>
  <si>
    <t>~6~</t>
  </si>
  <si>
    <r>
      <t>表</t>
    </r>
    <r>
      <rPr>
        <sz val="16"/>
        <rFont val="Times New Roman"/>
        <family val="1"/>
      </rPr>
      <t xml:space="preserve">4. </t>
    </r>
    <r>
      <rPr>
        <sz val="16"/>
        <rFont val="標楷體"/>
        <family val="4"/>
      </rPr>
      <t>各鄉鎮市人口趨勢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</si>
  <si>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4. Trend of District Population (Cont. End)</t>
  </si>
  <si>
    <t>Wujie 
Township</t>
  </si>
  <si>
    <t>Sansing 
Township</t>
  </si>
  <si>
    <t>Datong 
Township</t>
  </si>
  <si>
    <t>Nanao 
Township</t>
  </si>
  <si>
    <t>1st Qua.</t>
  </si>
  <si>
    <t>2nd Qua.</t>
  </si>
  <si>
    <t>3rd Qua.</t>
  </si>
  <si>
    <t>4th Qua.</t>
  </si>
  <si>
    <t>VS. with
 Last Year</t>
  </si>
  <si>
    <r>
      <t xml:space="preserve">  </t>
    </r>
    <r>
      <rPr>
        <sz val="8"/>
        <rFont val="標楷體"/>
        <family val="4"/>
      </rPr>
      <t>退休撫卹給付支出</t>
    </r>
    <r>
      <rPr>
        <sz val="8"/>
        <rFont val="Times New Roman"/>
        <family val="1"/>
      </rPr>
      <t>Expenditure on Retirement and Pension</t>
    </r>
  </si>
  <si>
    <r>
      <t xml:space="preserve">        </t>
    </r>
    <r>
      <rPr>
        <sz val="14"/>
        <rFont val="標楷體"/>
        <family val="4"/>
      </rPr>
      <t>本縣截至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季底歲出預算執行率</t>
    </r>
    <r>
      <rPr>
        <sz val="14"/>
        <rFont val="Times New Roman"/>
        <family val="1"/>
      </rPr>
      <t>54.73%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88.40%</t>
    </r>
    <r>
      <rPr>
        <sz val="14"/>
        <rFont val="標楷體"/>
        <family val="4"/>
      </rPr>
      <t>，其中經常門預算執行率為</t>
    </r>
    <r>
      <rPr>
        <sz val="14"/>
        <rFont val="Times New Roman"/>
        <family val="1"/>
      </rPr>
      <t>51.14%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95.18%</t>
    </r>
    <r>
      <rPr>
        <sz val="14"/>
        <rFont val="標楷體"/>
        <family val="4"/>
      </rPr>
      <t>；資本門預算執行率為</t>
    </r>
    <r>
      <rPr>
        <sz val="14"/>
        <rFont val="Times New Roman"/>
        <family val="1"/>
      </rPr>
      <t>70.60%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72.00%</t>
    </r>
    <r>
      <rPr>
        <sz val="14"/>
        <rFont val="標楷體"/>
        <family val="4"/>
      </rPr>
      <t>；經常門預算執行率占分配數最高為專案補助支出、退休撫卹給付支出及其他支出，皆占</t>
    </r>
    <r>
      <rPr>
        <sz val="14"/>
        <rFont val="Times New Roman"/>
        <family val="1"/>
      </rPr>
      <t>100.00%</t>
    </r>
    <r>
      <rPr>
        <sz val="14"/>
        <rFont val="標楷體"/>
        <family val="4"/>
      </rPr>
      <t>，其次依序為社會保險支出占</t>
    </r>
    <r>
      <rPr>
        <sz val="14"/>
        <rFont val="Times New Roman"/>
        <family val="1"/>
      </rPr>
      <t>99.49%</t>
    </r>
    <r>
      <rPr>
        <sz val="14"/>
        <rFont val="標楷體"/>
        <family val="4"/>
      </rPr>
      <t>、教育支出占</t>
    </r>
    <r>
      <rPr>
        <sz val="14"/>
        <rFont val="Times New Roman"/>
        <family val="1"/>
      </rPr>
      <t>99.34%…</t>
    </r>
    <r>
      <rPr>
        <sz val="14"/>
        <rFont val="標楷體"/>
        <family val="4"/>
      </rPr>
      <t>等（參見表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）；資本門預算執行率占分配數最高為其他支出占</t>
    </r>
    <r>
      <rPr>
        <sz val="14"/>
        <rFont val="Times New Roman"/>
        <family val="1"/>
      </rPr>
      <t>100.00%</t>
    </r>
    <r>
      <rPr>
        <sz val="14"/>
        <rFont val="標楷體"/>
        <family val="4"/>
      </rPr>
      <t>，其次依序為財務支出占</t>
    </r>
    <r>
      <rPr>
        <sz val="14"/>
        <rFont val="Times New Roman"/>
        <family val="1"/>
      </rPr>
      <t>99.87%</t>
    </r>
    <r>
      <rPr>
        <sz val="14"/>
        <rFont val="標楷體"/>
        <family val="4"/>
      </rPr>
      <t>，教育支出占</t>
    </r>
    <r>
      <rPr>
        <sz val="14"/>
        <rFont val="Times New Roman"/>
        <family val="1"/>
      </rPr>
      <t>98.79%</t>
    </r>
    <r>
      <rPr>
        <sz val="14"/>
        <rFont val="標楷體"/>
        <family val="4"/>
      </rPr>
      <t>，餘詳附表（參見表15)。</t>
    </r>
  </si>
  <si>
    <t>~7~</t>
  </si>
  <si>
    <r>
      <t>　　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年下半年</t>
    </r>
    <r>
      <rPr>
        <sz val="14"/>
        <rFont val="Times New Roman"/>
        <family val="1"/>
      </rPr>
      <t>15</t>
    </r>
    <r>
      <rPr>
        <sz val="14"/>
        <rFont val="標楷體"/>
        <family val="4"/>
      </rPr>
      <t>歲以上民間人口為</t>
    </r>
    <r>
      <rPr>
        <sz val="14"/>
        <rFont val="Times New Roman"/>
        <family val="1"/>
      </rPr>
      <t>384</t>
    </r>
    <r>
      <rPr>
        <sz val="14"/>
        <rFont val="標楷體"/>
        <family val="4"/>
      </rPr>
      <t>千人，勞動力人口為</t>
    </r>
    <r>
      <rPr>
        <sz val="14"/>
        <rFont val="Times New Roman"/>
        <family val="1"/>
      </rPr>
      <t>225</t>
    </r>
    <r>
      <rPr>
        <sz val="14"/>
        <rFont val="標楷體"/>
        <family val="4"/>
      </rPr>
      <t>千人，就業者為</t>
    </r>
    <r>
      <rPr>
        <sz val="14"/>
        <rFont val="Times New Roman"/>
        <family val="1"/>
      </rPr>
      <t>214</t>
    </r>
    <r>
      <rPr>
        <sz val="14"/>
        <rFont val="標楷體"/>
        <family val="4"/>
      </rPr>
      <t>千人，失業者為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千人，勞動力參與率為</t>
    </r>
    <r>
      <rPr>
        <sz val="14"/>
        <rFont val="Times New Roman"/>
        <family val="1"/>
      </rPr>
      <t>58.6%</t>
    </r>
    <r>
      <rPr>
        <sz val="14"/>
        <rFont val="標楷體"/>
        <family val="4"/>
      </rPr>
      <t>，失業率為</t>
    </r>
    <r>
      <rPr>
        <sz val="14"/>
        <rFont val="Times New Roman"/>
        <family val="1"/>
      </rPr>
      <t>4.8%</t>
    </r>
    <r>
      <rPr>
        <sz val="14"/>
        <rFont val="標楷體"/>
        <family val="4"/>
      </rPr>
      <t>，就業者行業中農林漁牧業為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千人，工業為</t>
    </r>
    <r>
      <rPr>
        <sz val="14"/>
        <rFont val="Times New Roman"/>
        <family val="1"/>
      </rPr>
      <t>70</t>
    </r>
    <r>
      <rPr>
        <sz val="14"/>
        <rFont val="標楷體"/>
        <family val="4"/>
      </rPr>
      <t>千人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製造業</t>
    </r>
    <r>
      <rPr>
        <sz val="14"/>
        <rFont val="Times New Roman"/>
        <family val="1"/>
      </rPr>
      <t>43</t>
    </r>
    <r>
      <rPr>
        <sz val="14"/>
        <rFont val="標楷體"/>
        <family val="4"/>
      </rPr>
      <t>千人，其他</t>
    </r>
    <r>
      <rPr>
        <sz val="14"/>
        <rFont val="Times New Roman"/>
        <family val="1"/>
      </rPr>
      <t>27</t>
    </r>
    <r>
      <rPr>
        <sz val="14"/>
        <rFont val="標楷體"/>
        <family val="4"/>
      </rPr>
      <t>千人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，服務業為</t>
    </r>
    <r>
      <rPr>
        <sz val="14"/>
        <rFont val="Times New Roman"/>
        <family val="1"/>
      </rPr>
      <t>132</t>
    </r>
    <r>
      <rPr>
        <sz val="14"/>
        <rFont val="標楷體"/>
        <family val="4"/>
      </rPr>
      <t>千人。</t>
    </r>
  </si>
  <si>
    <t>時間(年)</t>
  </si>
  <si>
    <t>99年下半年</t>
  </si>
  <si>
    <r>
      <t>表</t>
    </r>
    <r>
      <rPr>
        <sz val="16"/>
        <rFont val="Times New Roman"/>
        <family val="1"/>
      </rPr>
      <t xml:space="preserve">5. </t>
    </r>
    <r>
      <rPr>
        <sz val="16"/>
        <rFont val="標楷體"/>
        <family val="4"/>
      </rPr>
      <t>勞動力與就業</t>
    </r>
  </si>
  <si>
    <r>
      <t xml:space="preserve">勞動力人口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千人</t>
    </r>
    <r>
      <rPr>
        <sz val="11"/>
        <rFont val="Times New Roman"/>
        <family val="1"/>
      </rPr>
      <t>)</t>
    </r>
  </si>
  <si>
    <r>
      <t>(</t>
    </r>
    <r>
      <rPr>
        <sz val="11"/>
        <rFont val="標楷體"/>
        <family val="4"/>
      </rPr>
      <t>千人</t>
    </r>
    <r>
      <rPr>
        <sz val="11"/>
        <rFont val="Times New Roman"/>
        <family val="1"/>
      </rPr>
      <t>)</t>
    </r>
  </si>
  <si>
    <t>Year &amp; Quarter</t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</si>
  <si>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2010</t>
    </r>
  </si>
  <si>
    <r>
      <t>說　　明：</t>
    </r>
    <r>
      <rPr>
        <sz val="11"/>
        <rFont val="Times New Roman"/>
        <family val="1"/>
      </rPr>
      <t>1.92</t>
    </r>
    <r>
      <rPr>
        <sz val="11"/>
        <rFont val="標楷體"/>
        <family val="4"/>
      </rPr>
      <t>年起資料僅提供至小數點第一位。</t>
    </r>
  </si>
  <si>
    <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　　</t>
    </r>
    <r>
      <rPr>
        <sz val="11"/>
        <rFont val="Times New Roman"/>
        <family val="1"/>
      </rPr>
      <t>2.94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月起資料改成按半年公告。</t>
    </r>
  </si>
  <si>
    <r>
      <t>表</t>
    </r>
    <r>
      <rPr>
        <sz val="16"/>
        <rFont val="Times New Roman"/>
        <family val="1"/>
      </rPr>
      <t xml:space="preserve">5. </t>
    </r>
    <r>
      <rPr>
        <sz val="16"/>
        <rFont val="標楷體"/>
        <family val="4"/>
      </rPr>
      <t>勞動力與就業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</si>
  <si>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>第一季</t>
    </r>
    <r>
      <rPr>
        <sz val="8"/>
        <rFont val="Times New Roman"/>
        <family val="1"/>
      </rPr>
      <t>1st Qua.</t>
    </r>
  </si>
  <si>
    <r>
      <t>說　　明：</t>
    </r>
    <r>
      <rPr>
        <sz val="11"/>
        <rFont val="Times New Roman"/>
        <family val="1"/>
      </rPr>
      <t>94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月起資料改成按半年公告。</t>
    </r>
  </si>
  <si>
    <r>
      <t xml:space="preserve">  </t>
    </r>
    <r>
      <rPr>
        <sz val="8"/>
        <rFont val="標楷體"/>
        <family val="4"/>
      </rPr>
      <t>專案補助支出</t>
    </r>
    <r>
      <rPr>
        <sz val="8"/>
        <rFont val="Times New Roman"/>
        <family val="1"/>
      </rPr>
      <t>Expenditure for Transfers of Special Characters</t>
    </r>
  </si>
  <si>
    <r>
      <t xml:space="preserve">  </t>
    </r>
    <r>
      <rPr>
        <sz val="8"/>
        <rFont val="標楷體"/>
        <family val="4"/>
      </rPr>
      <t>第二預備金</t>
    </r>
    <r>
      <rPr>
        <sz val="8"/>
        <rFont val="Times New Roman"/>
        <family val="1"/>
      </rPr>
      <t>Second Reserve Fund</t>
    </r>
  </si>
  <si>
    <r>
      <t>經常門資本門總計</t>
    </r>
    <r>
      <rPr>
        <sz val="10"/>
        <rFont val="Times New Roman"/>
        <family val="1"/>
      </rPr>
      <t xml:space="preserve"> Grand Total</t>
    </r>
  </si>
  <si>
    <r>
      <t>資本門</t>
    </r>
    <r>
      <rPr>
        <sz val="10"/>
        <rFont val="Times New Roman"/>
        <family val="1"/>
      </rPr>
      <t xml:space="preserve"> Capital Total</t>
    </r>
  </si>
  <si>
    <r>
      <t xml:space="preserve"> </t>
    </r>
    <r>
      <rPr>
        <sz val="12"/>
        <rFont val="標楷體"/>
        <family val="4"/>
      </rPr>
      <t>資料來源：本府主計處</t>
    </r>
  </si>
  <si>
    <t>Petition Cases on Nuisance</t>
  </si>
  <si>
    <t>罰鍰</t>
  </si>
  <si>
    <t>計</t>
  </si>
  <si>
    <t>音</t>
  </si>
  <si>
    <t>染</t>
  </si>
  <si>
    <t>物</t>
  </si>
  <si>
    <t>動</t>
  </si>
  <si>
    <t>衛生</t>
  </si>
  <si>
    <t>他</t>
  </si>
  <si>
    <t>惡臭</t>
  </si>
  <si>
    <t>臭</t>
  </si>
  <si>
    <t>Noise</t>
  </si>
  <si>
    <t>Water</t>
  </si>
  <si>
    <t>Solid Waste</t>
  </si>
  <si>
    <t>單位：公斤</t>
  </si>
  <si>
    <t>Garbage Recycled</t>
  </si>
  <si>
    <t>資料來源：本府環保局。</t>
  </si>
  <si>
    <t>八十五年</t>
  </si>
  <si>
    <t>八十六年</t>
  </si>
  <si>
    <t>家數</t>
  </si>
  <si>
    <t>第3季</t>
  </si>
  <si>
    <r>
      <t xml:space="preserve">        </t>
    </r>
    <r>
      <rPr>
        <sz val="14"/>
        <rFont val="標楷體"/>
        <family val="4"/>
      </rPr>
      <t>本縣歲入預算執行率，截至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年度第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季占預算數</t>
    </r>
    <r>
      <rPr>
        <sz val="14"/>
        <rFont val="Times New Roman"/>
        <family val="1"/>
      </rPr>
      <t>53.01%</t>
    </r>
    <r>
      <rPr>
        <sz val="14"/>
        <rFont val="標楷體"/>
        <family val="4"/>
      </rPr>
      <t>，占分配數</t>
    </r>
    <r>
      <rPr>
        <sz val="14"/>
        <rFont val="Times New Roman"/>
        <family val="1"/>
      </rPr>
      <t>53.01%</t>
    </r>
    <r>
      <rPr>
        <sz val="14"/>
        <rFont val="標楷體"/>
        <family val="4"/>
      </rPr>
      <t>，歲入經常門執行率占分配數</t>
    </r>
    <r>
      <rPr>
        <sz val="14"/>
        <rFont val="Times New Roman"/>
        <family val="1"/>
      </rPr>
      <t>52.97%</t>
    </r>
    <r>
      <rPr>
        <sz val="14"/>
        <rFont val="標楷體"/>
        <family val="4"/>
      </rPr>
      <t>，其中以財產收入執行率最高達</t>
    </r>
    <r>
      <rPr>
        <sz val="14"/>
        <rFont val="Times New Roman"/>
        <family val="1"/>
      </rPr>
      <t>152.84%</t>
    </r>
    <r>
      <rPr>
        <sz val="14"/>
        <rFont val="標楷體"/>
        <family val="4"/>
      </rPr>
      <t>，其次為其他收入執行率達</t>
    </r>
    <r>
      <rPr>
        <sz val="14"/>
        <rFont val="Times New Roman"/>
        <family val="1"/>
      </rPr>
      <t>131.05%</t>
    </r>
    <r>
      <rPr>
        <sz val="14"/>
        <rFont val="標楷體"/>
        <family val="4"/>
      </rPr>
      <t>，再次為稅課收入</t>
    </r>
    <r>
      <rPr>
        <sz val="14"/>
        <rFont val="Times New Roman"/>
        <family val="1"/>
      </rPr>
      <t>112.04%…</t>
    </r>
    <r>
      <rPr>
        <sz val="14"/>
        <rFont val="標楷體"/>
        <family val="4"/>
      </rPr>
      <t>等（詳見表</t>
    </r>
    <r>
      <rPr>
        <sz val="14"/>
        <rFont val="Times New Roman"/>
        <family val="1"/>
      </rPr>
      <t>16</t>
    </r>
    <r>
      <rPr>
        <sz val="14"/>
        <rFont val="標楷體"/>
        <family val="4"/>
      </rPr>
      <t>）。</t>
    </r>
  </si>
  <si>
    <t>95年</t>
  </si>
  <si>
    <t>九十二年第四季</t>
  </si>
  <si>
    <r>
      <t>88</t>
    </r>
    <r>
      <rPr>
        <sz val="12"/>
        <rFont val="標楷體"/>
        <family val="4"/>
      </rPr>
      <t>年</t>
    </r>
  </si>
  <si>
    <r>
      <t>89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</si>
  <si>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</si>
  <si>
    <r>
      <t>90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</si>
  <si>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</si>
  <si>
    <r>
      <t>91</t>
    </r>
    <r>
      <rPr>
        <sz val="12"/>
        <rFont val="標楷體"/>
        <family val="4"/>
      </rPr>
      <t>年</t>
    </r>
  </si>
  <si>
    <r>
      <t>92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</si>
  <si>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</si>
  <si>
    <r>
      <t>93</t>
    </r>
    <r>
      <rPr>
        <sz val="12"/>
        <rFont val="標楷體"/>
        <family val="4"/>
      </rPr>
      <t>年</t>
    </r>
  </si>
  <si>
    <r>
      <t>94</t>
    </r>
    <r>
      <rPr>
        <sz val="12"/>
        <rFont val="標楷體"/>
        <family val="4"/>
      </rPr>
      <t>年</t>
    </r>
  </si>
  <si>
    <t>No.  of  Boats</t>
  </si>
  <si>
    <t>Tonnage</t>
  </si>
  <si>
    <t xml:space="preserve"> Total</t>
  </si>
  <si>
    <t>Academic  Year</t>
  </si>
  <si>
    <r>
      <t>98年度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</si>
  <si>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2st Qua.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</si>
  <si>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</si>
  <si>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1st Qua.</t>
    </r>
  </si>
  <si>
    <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2nd Qua.</t>
    </r>
  </si>
  <si>
    <t>No.</t>
  </si>
  <si>
    <r>
      <t xml:space="preserve">死亡
</t>
    </r>
    <r>
      <rPr>
        <sz val="10"/>
        <rFont val="Times New Roman"/>
        <family val="1"/>
      </rPr>
      <t>Deaths</t>
    </r>
  </si>
  <si>
    <r>
      <t>當季較上季增減</t>
    </r>
    <r>
      <rPr>
        <sz val="10"/>
        <rFont val="Times New Roman"/>
        <family val="1"/>
      </rPr>
      <t>%   VS. with Last Quarter</t>
    </r>
  </si>
  <si>
    <r>
      <t>表</t>
    </r>
    <r>
      <rPr>
        <sz val="16"/>
        <rFont val="Times New Roman"/>
        <family val="1"/>
      </rPr>
      <t xml:space="preserve">13. </t>
    </r>
    <r>
      <rPr>
        <sz val="16"/>
        <rFont val="標楷體"/>
        <family val="4"/>
      </rPr>
      <t xml:space="preserve">交通事故
</t>
    </r>
    <r>
      <rPr>
        <sz val="16"/>
        <rFont val="Times New Roman"/>
        <family val="1"/>
      </rPr>
      <t>Table 13. Traffic Accident</t>
    </r>
  </si>
  <si>
    <r>
      <t>年季別</t>
    </r>
    <r>
      <rPr>
        <sz val="10"/>
        <rFont val="Times New Roman"/>
        <family val="1"/>
      </rPr>
      <t xml:space="preserve">                  Year &amp; Quarter</t>
    </r>
  </si>
  <si>
    <r>
      <t>發生件數</t>
    </r>
    <r>
      <rPr>
        <sz val="10"/>
        <rFont val="Times New Roman"/>
        <family val="1"/>
      </rPr>
      <t>Cases</t>
    </r>
  </si>
  <si>
    <r>
      <t>平均每日發生件數</t>
    </r>
    <r>
      <rPr>
        <sz val="10"/>
        <rFont val="Times New Roman"/>
        <family val="1"/>
      </rPr>
      <t>Cases Per Day</t>
    </r>
  </si>
  <si>
    <r>
      <t>計</t>
    </r>
    <r>
      <rPr>
        <sz val="10"/>
        <rFont val="Times New Roman"/>
        <family val="1"/>
      </rPr>
      <t xml:space="preserve">                 Total</t>
    </r>
  </si>
  <si>
    <r>
      <t>90學年</t>
    </r>
  </si>
  <si>
    <r>
      <t>91學年</t>
    </r>
  </si>
  <si>
    <r>
      <t>92學年</t>
    </r>
  </si>
  <si>
    <r>
      <t>93學年</t>
    </r>
  </si>
  <si>
    <r>
      <t>94學年</t>
    </r>
  </si>
  <si>
    <r>
      <t>95學年</t>
    </r>
  </si>
  <si>
    <r>
      <t>96學年</t>
    </r>
  </si>
  <si>
    <r>
      <t>97學年</t>
    </r>
  </si>
  <si>
    <r>
      <t>98學年</t>
    </r>
  </si>
  <si>
    <r>
      <t>99 4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Mar.-Apr.</t>
    </r>
  </si>
  <si>
    <r>
      <t>98 8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May-Aug.</t>
    </r>
  </si>
  <si>
    <r>
      <t>98 12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Sep.-Dec.</t>
    </r>
  </si>
  <si>
    <t>勞動參與率</t>
  </si>
  <si>
    <t>97年下半年</t>
  </si>
  <si>
    <t>98年上半年</t>
  </si>
  <si>
    <t>98年下半年</t>
  </si>
  <si>
    <t>99年上半年</t>
  </si>
  <si>
    <t>參與率</t>
  </si>
  <si>
    <t>Labor Force Participation Rate</t>
  </si>
  <si>
    <t>Unemployed Rate</t>
  </si>
  <si>
    <t>Employed</t>
  </si>
  <si>
    <t>Unemployed</t>
  </si>
  <si>
    <t>年季別</t>
  </si>
  <si>
    <t>漁、牧業</t>
  </si>
  <si>
    <r>
      <t>98 4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Mar.-Apr.</t>
    </r>
  </si>
  <si>
    <r>
      <t>99 8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May-Aug.</t>
    </r>
  </si>
  <si>
    <r>
      <t>99 12</t>
    </r>
    <r>
      <rPr>
        <sz val="8"/>
        <rFont val="標楷體"/>
        <family val="4"/>
      </rPr>
      <t xml:space="preserve">月
</t>
    </r>
    <r>
      <rPr>
        <sz val="8"/>
        <rFont val="Times New Roman"/>
        <family val="1"/>
      </rPr>
      <t>Sep.-Dec.</t>
    </r>
  </si>
  <si>
    <r>
      <t>單位：人次</t>
    </r>
    <r>
      <rPr>
        <sz val="12"/>
        <rFont val="Times New Roman"/>
        <family val="1"/>
      </rPr>
      <t xml:space="preserve">                     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Visitors</t>
    </r>
  </si>
  <si>
    <r>
      <t>表</t>
    </r>
    <r>
      <rPr>
        <sz val="16"/>
        <rFont val="Times New Roman"/>
        <family val="1"/>
      </rPr>
      <t xml:space="preserve">19. </t>
    </r>
    <r>
      <rPr>
        <sz val="16"/>
        <rFont val="標楷體"/>
        <family val="4"/>
      </rPr>
      <t xml:space="preserve">觀光遊憩區遊客人次
</t>
    </r>
    <r>
      <rPr>
        <sz val="16"/>
        <rFont val="Times New Roman"/>
        <family val="1"/>
      </rPr>
      <t>Table 19. Visitor Number of Scenic Spots</t>
    </r>
  </si>
  <si>
    <r>
      <t>十九、觀光遊憩區遊客人次</t>
    </r>
    <r>
      <rPr>
        <sz val="12"/>
        <rFont val="Times New Roman"/>
        <family val="1"/>
      </rPr>
      <t xml:space="preserve"> Visitor Number of Scenic Spots</t>
    </r>
    <r>
      <rPr>
        <sz val="12"/>
        <rFont val="標楷體"/>
        <family val="4"/>
      </rPr>
      <t>．．．．．．．．．．．．</t>
    </r>
    <r>
      <rPr>
        <sz val="12"/>
        <rFont val="Times New Roman"/>
        <family val="1"/>
      </rPr>
      <t>41</t>
    </r>
  </si>
  <si>
    <r>
      <t>駕駛過失</t>
    </r>
    <r>
      <rPr>
        <sz val="8"/>
        <rFont val="Times New Roman"/>
        <family val="1"/>
      </rPr>
      <t>Negligence in Traffic Accidents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</si>
  <si>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</si>
  <si>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</si>
  <si>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</si>
  <si>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</si>
  <si>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</si>
  <si>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</si>
  <si>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</si>
  <si>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</si>
  <si>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</si>
  <si>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r>
      <t>第二季</t>
    </r>
    <r>
      <rPr>
        <sz val="10"/>
        <rFont val="Times New Roman"/>
        <family val="1"/>
      </rPr>
      <t xml:space="preserve">                2nd Qua.</t>
    </r>
  </si>
  <si>
    <r>
      <t>第三季</t>
    </r>
    <r>
      <rPr>
        <sz val="10"/>
        <rFont val="Times New Roman"/>
        <family val="1"/>
      </rPr>
      <t xml:space="preserve">              3rd Qua.</t>
    </r>
  </si>
  <si>
    <r>
      <t>第四季</t>
    </r>
    <r>
      <rPr>
        <sz val="10"/>
        <rFont val="Times New Roman"/>
        <family val="1"/>
      </rPr>
      <t xml:space="preserve">                 4th Qua.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</si>
  <si>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</si>
  <si>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
1st Qua.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</si>
  <si>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</si>
  <si>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</si>
  <si>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</si>
  <si>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</si>
  <si>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當季較上季增減</t>
    </r>
    <r>
      <rPr>
        <sz val="8"/>
        <rFont val="Times New Roman"/>
        <family val="1"/>
      </rPr>
      <t>%   VS. with Last Quarter</t>
    </r>
  </si>
  <si>
    <t>萬分點</t>
  </si>
  <si>
    <t>人數</t>
  </si>
  <si>
    <t>件數</t>
  </si>
  <si>
    <r>
      <t>當季較上年同季增減</t>
    </r>
    <r>
      <rPr>
        <sz val="8"/>
        <rFont val="Times New Roman"/>
        <family val="1"/>
      </rPr>
      <t>%                                 VS. with Last Year</t>
    </r>
  </si>
  <si>
    <t>資料來源：本縣警察局</t>
  </si>
  <si>
    <r>
      <t>表</t>
    </r>
    <r>
      <rPr>
        <sz val="16"/>
        <rFont val="Times New Roman"/>
        <family val="1"/>
      </rPr>
      <t xml:space="preserve">14. </t>
    </r>
    <r>
      <rPr>
        <sz val="16"/>
        <rFont val="標楷體"/>
        <family val="4"/>
      </rPr>
      <t xml:space="preserve">火災防護
</t>
    </r>
    <r>
      <rPr>
        <sz val="16"/>
        <rFont val="Times New Roman"/>
        <family val="1"/>
      </rPr>
      <t>Table 14. Fire Protection</t>
    </r>
  </si>
  <si>
    <t>…</t>
  </si>
  <si>
    <t>間數</t>
  </si>
  <si>
    <t>資料來源：本府消防局</t>
  </si>
  <si>
    <t xml:space="preserve">                  </t>
  </si>
  <si>
    <r>
      <t xml:space="preserve">單位：千元
</t>
    </r>
    <r>
      <rPr>
        <sz val="10"/>
        <rFont val="Times New Roman"/>
        <family val="1"/>
      </rPr>
      <t>Unit:NT$1,000</t>
    </r>
  </si>
  <si>
    <t>資料來源：本府主計處</t>
  </si>
  <si>
    <r>
      <t>八十四年</t>
    </r>
    <r>
      <rPr>
        <sz val="12"/>
        <rFont val="Times New Roman"/>
        <family val="1"/>
      </rPr>
      <t>1995</t>
    </r>
  </si>
  <si>
    <r>
      <t>民國</t>
    </r>
    <r>
      <rPr>
        <sz val="10"/>
        <rFont val="Times New Roman"/>
        <family val="1"/>
      </rPr>
      <t>85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1996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</si>
  <si>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1999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</si>
  <si>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</si>
  <si>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</si>
  <si>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</si>
  <si>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2003</t>
    </r>
  </si>
  <si>
    <r>
      <t>第一季</t>
    </r>
    <r>
      <rPr>
        <sz val="8"/>
        <rFont val="Times New Roman"/>
        <family val="1"/>
      </rPr>
      <t xml:space="preserve">                   1st Qua.</t>
    </r>
  </si>
  <si>
    <r>
      <t>第二季</t>
    </r>
    <r>
      <rPr>
        <sz val="8"/>
        <rFont val="Times New Roman"/>
        <family val="1"/>
      </rPr>
      <t xml:space="preserve">                      2nd Qua.</t>
    </r>
  </si>
  <si>
    <r>
      <t>第三季</t>
    </r>
    <r>
      <rPr>
        <sz val="8"/>
        <rFont val="Times New Roman"/>
        <family val="1"/>
      </rPr>
      <t xml:space="preserve">                       3rd Qua.</t>
    </r>
  </si>
  <si>
    <r>
      <t>第四季</t>
    </r>
    <r>
      <rPr>
        <sz val="8"/>
        <rFont val="Times New Roman"/>
        <family val="1"/>
      </rPr>
      <t xml:space="preserve">                         4th Qua.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</si>
  <si>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</si>
  <si>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1st Qua.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</si>
  <si>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</si>
  <si>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3rd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</si>
  <si>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4rd Qua.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</si>
  <si>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</si>
  <si>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</si>
  <si>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</si>
  <si>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</si>
  <si>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2009</t>
    </r>
  </si>
  <si>
    <r>
      <t>當季較上季增減</t>
    </r>
    <r>
      <rPr>
        <sz val="8"/>
        <rFont val="Times New Roman"/>
        <family val="1"/>
      </rPr>
      <t>%               VS. with Last Quarter</t>
    </r>
  </si>
  <si>
    <r>
      <t>當季較上年同季增減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>　　　　</t>
    </r>
    <r>
      <rPr>
        <sz val="8"/>
        <rFont val="Times New Roman"/>
        <family val="1"/>
      </rPr>
      <t xml:space="preserve">     VS. with Last Year</t>
    </r>
  </si>
  <si>
    <t>資料來源：交通部統計處</t>
  </si>
  <si>
    <r>
      <t>說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明：特種車包括消防車、警備車、警車及其他車輛。</t>
    </r>
  </si>
  <si>
    <t>科目</t>
  </si>
  <si>
    <t>十五、預算執行－歲出（按政事別）</t>
  </si>
  <si>
    <r>
      <t xml:space="preserve">        </t>
    </r>
    <r>
      <rPr>
        <sz val="10"/>
        <rFont val="標楷體"/>
        <family val="4"/>
      </rPr>
      <t>單位：千元</t>
    </r>
  </si>
  <si>
    <r>
      <t xml:space="preserve"> 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NT$1,000</t>
    </r>
  </si>
  <si>
    <r>
      <t xml:space="preserve">  </t>
    </r>
    <r>
      <rPr>
        <sz val="8"/>
        <rFont val="標楷體"/>
        <family val="4"/>
      </rPr>
      <t>政權行使支出</t>
    </r>
    <r>
      <rPr>
        <sz val="8"/>
        <rFont val="Times New Roman"/>
        <family val="1"/>
      </rPr>
      <t>Expenditure for Political Function</t>
    </r>
  </si>
  <si>
    <t>政權行使支出</t>
  </si>
  <si>
    <r>
      <t xml:space="preserve">  </t>
    </r>
    <r>
      <rPr>
        <sz val="8"/>
        <rFont val="標楷體"/>
        <family val="4"/>
      </rPr>
      <t>行政支出</t>
    </r>
    <r>
      <rPr>
        <sz val="8"/>
        <rFont val="Times New Roman"/>
        <family val="1"/>
      </rPr>
      <t>Administrative Expenditure</t>
    </r>
  </si>
  <si>
    <t>行政支出</t>
  </si>
  <si>
    <r>
      <t xml:space="preserve">  </t>
    </r>
    <r>
      <rPr>
        <sz val="8"/>
        <rFont val="標楷體"/>
        <family val="4"/>
      </rPr>
      <t>民政支出</t>
    </r>
    <r>
      <rPr>
        <sz val="8"/>
        <rFont val="Times New Roman"/>
        <family val="1"/>
      </rPr>
      <t>Civil Affairs Expenditure</t>
    </r>
  </si>
  <si>
    <t>民政支出</t>
  </si>
  <si>
    <r>
      <t xml:space="preserve">  </t>
    </r>
    <r>
      <rPr>
        <sz val="8"/>
        <rFont val="標楷體"/>
        <family val="4"/>
      </rPr>
      <t>財務支出</t>
    </r>
    <r>
      <rPr>
        <sz val="8"/>
        <rFont val="Times New Roman"/>
        <family val="1"/>
      </rPr>
      <t>Financial Expenditure</t>
    </r>
  </si>
  <si>
    <t>財務支出</t>
  </si>
  <si>
    <r>
      <t xml:space="preserve">  </t>
    </r>
    <r>
      <rPr>
        <sz val="8"/>
        <rFont val="標楷體"/>
        <family val="4"/>
      </rPr>
      <t>教育支出</t>
    </r>
    <r>
      <rPr>
        <sz val="8"/>
        <rFont val="Times New Roman"/>
        <family val="1"/>
      </rPr>
      <t>Expenditure for Education</t>
    </r>
  </si>
  <si>
    <t>教育支出</t>
  </si>
  <si>
    <r>
      <t xml:space="preserve">  </t>
    </r>
    <r>
      <rPr>
        <sz val="8"/>
        <rFont val="標楷體"/>
        <family val="4"/>
      </rPr>
      <t>文化支出</t>
    </r>
    <r>
      <rPr>
        <sz val="8"/>
        <rFont val="Times New Roman"/>
        <family val="1"/>
      </rPr>
      <t>Expenditure for Culture</t>
    </r>
  </si>
  <si>
    <t>文化支出</t>
  </si>
  <si>
    <r>
      <t xml:space="preserve">  </t>
    </r>
    <r>
      <rPr>
        <sz val="8"/>
        <rFont val="標楷體"/>
        <family val="4"/>
      </rPr>
      <t>農業支出</t>
    </r>
    <r>
      <rPr>
        <sz val="8"/>
        <rFont val="Times New Roman"/>
        <family val="1"/>
      </rPr>
      <t>Expenditure for Agriculture</t>
    </r>
  </si>
  <si>
    <t>農業支出</t>
  </si>
  <si>
    <r>
      <t xml:space="preserve">  </t>
    </r>
    <r>
      <rPr>
        <sz val="8"/>
        <rFont val="標楷體"/>
        <family val="4"/>
      </rPr>
      <t>工業支出</t>
    </r>
    <r>
      <rPr>
        <sz val="8"/>
        <rFont val="Times New Roman"/>
        <family val="1"/>
      </rPr>
      <t>Expenditure for Industry</t>
    </r>
  </si>
  <si>
    <t>工業支出</t>
  </si>
  <si>
    <r>
      <t xml:space="preserve">  </t>
    </r>
    <r>
      <rPr>
        <sz val="8"/>
        <rFont val="標楷體"/>
        <family val="4"/>
      </rPr>
      <t>交通支出</t>
    </r>
    <r>
      <rPr>
        <sz val="8"/>
        <rFont val="Times New Roman"/>
        <family val="1"/>
      </rPr>
      <t>Expenditure for Communication</t>
    </r>
  </si>
  <si>
    <t>交通支出</t>
  </si>
  <si>
    <r>
      <t xml:space="preserve">  </t>
    </r>
    <r>
      <rPr>
        <sz val="8"/>
        <rFont val="標楷體"/>
        <family val="4"/>
      </rPr>
      <t>其他經濟服務支出</t>
    </r>
    <r>
      <rPr>
        <sz val="8"/>
        <rFont val="Times New Roman"/>
        <family val="1"/>
      </rPr>
      <t>Other Economic Service</t>
    </r>
  </si>
  <si>
    <t>其他經濟服務支出</t>
  </si>
  <si>
    <t>社會保險支出</t>
  </si>
  <si>
    <t>社會救助支出</t>
  </si>
  <si>
    <r>
      <t xml:space="preserve">  </t>
    </r>
    <r>
      <rPr>
        <sz val="8"/>
        <rFont val="標楷體"/>
        <family val="4"/>
      </rPr>
      <t>福利服務支出</t>
    </r>
    <r>
      <rPr>
        <sz val="8"/>
        <rFont val="Times New Roman"/>
        <family val="1"/>
      </rPr>
      <t>Expenditure for Beneficial Service</t>
    </r>
  </si>
  <si>
    <t>福利服務支出</t>
  </si>
  <si>
    <r>
      <t xml:space="preserve">  </t>
    </r>
    <r>
      <rPr>
        <sz val="8"/>
        <rFont val="標楷體"/>
        <family val="4"/>
      </rPr>
      <t>醫療保健支出</t>
    </r>
    <r>
      <rPr>
        <sz val="8"/>
        <rFont val="Times New Roman"/>
        <family val="1"/>
      </rPr>
      <t>Expenditure for Public Health</t>
    </r>
  </si>
  <si>
    <t>醫療保健支出</t>
  </si>
  <si>
    <r>
      <t xml:space="preserve">  </t>
    </r>
    <r>
      <rPr>
        <sz val="8"/>
        <rFont val="標楷體"/>
        <family val="4"/>
      </rPr>
      <t>社區發展支出</t>
    </r>
    <r>
      <rPr>
        <sz val="8"/>
        <rFont val="Times New Roman"/>
        <family val="1"/>
      </rPr>
      <t>Community Development</t>
    </r>
  </si>
  <si>
    <t>社區發展支出</t>
  </si>
  <si>
    <t>環境保護支出</t>
  </si>
  <si>
    <t>退休撫卹給付支出</t>
  </si>
  <si>
    <r>
      <t xml:space="preserve">  </t>
    </r>
    <r>
      <rPr>
        <sz val="8"/>
        <rFont val="標楷體"/>
        <family val="4"/>
      </rPr>
      <t>警政支出</t>
    </r>
    <r>
      <rPr>
        <sz val="8"/>
        <rFont val="Times New Roman"/>
        <family val="1"/>
      </rPr>
      <t>Expenditure for Police Service</t>
    </r>
  </si>
  <si>
    <t>警政支出</t>
  </si>
  <si>
    <r>
      <t xml:space="preserve">  </t>
    </r>
    <r>
      <rPr>
        <sz val="8"/>
        <rFont val="標楷體"/>
        <family val="4"/>
      </rPr>
      <t>債務付息支出</t>
    </r>
    <r>
      <rPr>
        <sz val="8"/>
        <rFont val="Times New Roman"/>
        <family val="1"/>
      </rPr>
      <t>Expenditure for Interest Payment</t>
    </r>
  </si>
  <si>
    <t>債務付息支出</t>
  </si>
  <si>
    <t>專案補助支出</t>
  </si>
  <si>
    <t>第二預備金</t>
  </si>
  <si>
    <r>
      <t xml:space="preserve">  </t>
    </r>
    <r>
      <rPr>
        <sz val="8"/>
        <rFont val="標楷體"/>
        <family val="4"/>
      </rPr>
      <t>其他支出</t>
    </r>
    <r>
      <rPr>
        <sz val="8"/>
        <rFont val="Times New Roman"/>
        <family val="1"/>
      </rPr>
      <t>Other Expenditure</t>
    </r>
  </si>
  <si>
    <t>其他支出</t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</si>
  <si>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1999</t>
    </r>
  </si>
  <si>
    <t xml:space="preserve">              　　　         目      錄</t>
  </si>
  <si>
    <t>六、稅捐徵收</t>
  </si>
  <si>
    <t>八十三年度</t>
  </si>
  <si>
    <t>科目</t>
  </si>
  <si>
    <t>金額</t>
  </si>
  <si>
    <r>
      <t>90</t>
    </r>
    <r>
      <rPr>
        <sz val="12"/>
        <rFont val="標楷體"/>
        <family val="4"/>
      </rPr>
      <t>年度</t>
    </r>
  </si>
  <si>
    <r>
      <t>91</t>
    </r>
    <r>
      <rPr>
        <sz val="12"/>
        <rFont val="標楷體"/>
        <family val="4"/>
      </rPr>
      <t>年度</t>
    </r>
  </si>
  <si>
    <r>
      <t>92</t>
    </r>
    <r>
      <rPr>
        <sz val="12"/>
        <rFont val="標楷體"/>
        <family val="4"/>
      </rPr>
      <t>年度</t>
    </r>
  </si>
  <si>
    <r>
      <t>93</t>
    </r>
    <r>
      <rPr>
        <sz val="12"/>
        <rFont val="標楷體"/>
        <family val="4"/>
      </rPr>
      <t>年度</t>
    </r>
  </si>
  <si>
    <r>
      <t>94</t>
    </r>
    <r>
      <rPr>
        <sz val="12"/>
        <rFont val="標楷體"/>
        <family val="4"/>
      </rPr>
      <t>年度</t>
    </r>
  </si>
  <si>
    <r>
      <t>95</t>
    </r>
    <r>
      <rPr>
        <sz val="12"/>
        <rFont val="標楷體"/>
        <family val="4"/>
      </rPr>
      <t>年度</t>
    </r>
  </si>
  <si>
    <r>
      <t>96</t>
    </r>
    <r>
      <rPr>
        <sz val="12"/>
        <rFont val="標楷體"/>
        <family val="4"/>
      </rPr>
      <t>年度</t>
    </r>
  </si>
  <si>
    <r>
      <t>武荖坑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風景區</t>
    </r>
    <r>
      <rPr>
        <sz val="11"/>
        <rFont val="Times New Roman"/>
        <family val="1"/>
      </rPr>
      <t xml:space="preserve">          </t>
    </r>
    <r>
      <rPr>
        <sz val="10"/>
        <rFont val="Times New Roman"/>
        <family val="1"/>
      </rPr>
      <t>Wulaokeng</t>
    </r>
  </si>
  <si>
    <r>
      <t>97</t>
    </r>
    <r>
      <rPr>
        <sz val="12"/>
        <rFont val="標楷體"/>
        <family val="4"/>
      </rPr>
      <t>年度</t>
    </r>
  </si>
  <si>
    <t>印花稅</t>
  </si>
  <si>
    <t>娛樂稅</t>
  </si>
  <si>
    <t>契稅</t>
  </si>
  <si>
    <t>使用牌照稅</t>
  </si>
  <si>
    <t>地價稅</t>
  </si>
  <si>
    <t>房屋稅</t>
  </si>
  <si>
    <t>教育捐</t>
  </si>
  <si>
    <t>Table 6. Taxes Levied</t>
  </si>
  <si>
    <r>
      <t>八十四年</t>
    </r>
    <r>
      <rPr>
        <sz val="10"/>
        <rFont val="Times New Roman"/>
        <family val="1"/>
      </rPr>
      <t>1995</t>
    </r>
  </si>
  <si>
    <t>~12~</t>
  </si>
  <si>
    <t>年度</t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</si>
  <si>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</si>
  <si>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4th Qua.</t>
    </r>
  </si>
  <si>
    <t>Grand Total</t>
  </si>
  <si>
    <t>家數</t>
  </si>
  <si>
    <t>Manufacturing</t>
  </si>
  <si>
    <t>Construction</t>
  </si>
  <si>
    <t>家數</t>
  </si>
  <si>
    <t>銷售額</t>
  </si>
  <si>
    <t>Sales Amounts</t>
  </si>
  <si>
    <t>七、營利事業銷售額</t>
  </si>
  <si>
    <t>單位：千元</t>
  </si>
  <si>
    <t>No.</t>
  </si>
  <si>
    <t>﹪</t>
  </si>
  <si>
    <t>占預算數﹪</t>
  </si>
  <si>
    <t>占分配數﹪</t>
  </si>
  <si>
    <t>稅課收入</t>
  </si>
  <si>
    <t>罰款及賠償收入</t>
  </si>
  <si>
    <t>規費收入</t>
  </si>
  <si>
    <t>財產收入</t>
  </si>
  <si>
    <t>營業盈餘及事業收入</t>
  </si>
  <si>
    <t>補助及協助收入</t>
  </si>
  <si>
    <t>其他收入</t>
  </si>
  <si>
    <t>資本額</t>
  </si>
  <si>
    <r>
      <t>表</t>
    </r>
    <r>
      <rPr>
        <sz val="16"/>
        <rFont val="Times New Roman"/>
        <family val="1"/>
      </rPr>
      <t xml:space="preserve">15. </t>
    </r>
    <r>
      <rPr>
        <sz val="16"/>
        <rFont val="標楷體"/>
        <family val="4"/>
      </rPr>
      <t xml:space="preserve">歲出預算執行情形
</t>
    </r>
    <r>
      <rPr>
        <sz val="16"/>
        <rFont val="Times New Roman"/>
        <family val="1"/>
      </rPr>
      <t>Table 15. Performance of Budgetary Expenditures</t>
    </r>
  </si>
  <si>
    <r>
      <t>表</t>
    </r>
    <r>
      <rPr>
        <sz val="16"/>
        <rFont val="Times New Roman"/>
        <family val="1"/>
      </rPr>
      <t xml:space="preserve">17. </t>
    </r>
    <r>
      <rPr>
        <sz val="16"/>
        <rFont val="標楷體"/>
        <family val="4"/>
      </rPr>
      <t xml:space="preserve">工商行業
</t>
    </r>
    <r>
      <rPr>
        <sz val="16"/>
        <rFont val="Times New Roman"/>
        <family val="1"/>
      </rPr>
      <t>Table 17. Industry &amp; Commerce</t>
    </r>
  </si>
  <si>
    <t>~11~</t>
  </si>
  <si>
    <r>
      <t xml:space="preserve">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NT$1,000                                        </t>
    </r>
  </si>
  <si>
    <t>總計</t>
  </si>
  <si>
    <t>印花稅</t>
  </si>
  <si>
    <t>娛樂稅</t>
  </si>
  <si>
    <t>契稅</t>
  </si>
  <si>
    <t>地價稅</t>
  </si>
  <si>
    <t>土地增值稅</t>
  </si>
  <si>
    <t>房屋稅</t>
  </si>
  <si>
    <t>教育捐</t>
  </si>
  <si>
    <t>Total</t>
  </si>
  <si>
    <t>Stamp Tax</t>
  </si>
  <si>
    <t>Amusement Tax</t>
  </si>
  <si>
    <t>Deeds Tax</t>
  </si>
  <si>
    <t>License Tax</t>
  </si>
  <si>
    <t>Land Value Tax</t>
  </si>
  <si>
    <t>Land Value Increment Tax</t>
  </si>
  <si>
    <t>Housing Tax</t>
  </si>
  <si>
    <t>Education Expenditure</t>
  </si>
  <si>
    <r>
      <t xml:space="preserve">  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6. </t>
    </r>
    <r>
      <rPr>
        <sz val="16"/>
        <rFont val="標楷體"/>
        <family val="4"/>
      </rPr>
      <t>稅捐徵收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</si>
  <si>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</si>
  <si>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</si>
  <si>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2003</t>
    </r>
  </si>
  <si>
    <r>
      <t>第一季</t>
    </r>
    <r>
      <rPr>
        <sz val="8"/>
        <rFont val="Times New Roman"/>
        <family val="1"/>
      </rPr>
      <t xml:space="preserve">                   1st Qua.</t>
    </r>
  </si>
  <si>
    <r>
      <t>第二季</t>
    </r>
    <r>
      <rPr>
        <sz val="8"/>
        <rFont val="Times New Roman"/>
        <family val="1"/>
      </rPr>
      <t xml:space="preserve">                2nd Qua.</t>
    </r>
  </si>
  <si>
    <r>
      <t>第三季</t>
    </r>
    <r>
      <rPr>
        <sz val="8"/>
        <rFont val="Times New Roman"/>
        <family val="1"/>
      </rPr>
      <t xml:space="preserve">              3rd Qua.</t>
    </r>
  </si>
  <si>
    <r>
      <t>第四季</t>
    </r>
    <r>
      <rPr>
        <sz val="8"/>
        <rFont val="Times New Roman"/>
        <family val="1"/>
      </rPr>
      <t xml:space="preserve">                 4th Qua.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</si>
  <si>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2004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</si>
  <si>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1st Qua.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</si>
  <si>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</si>
  <si>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3rd Qua.</t>
    </r>
  </si>
  <si>
    <r>
      <t>第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4rd Qua.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</si>
  <si>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2005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</si>
  <si>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2006</t>
    </r>
  </si>
  <si>
    <r>
      <t>民國</t>
    </r>
    <r>
      <rPr>
        <sz val="8"/>
        <rFont val="Times New Roman"/>
        <family val="1"/>
      </rPr>
      <t>96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2007</t>
    </r>
  </si>
  <si>
    <r>
      <t>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2008</t>
    </r>
  </si>
  <si>
    <r>
      <t>民國</t>
    </r>
    <r>
      <rPr>
        <sz val="8"/>
        <rFont val="Times New Roman"/>
        <family val="1"/>
      </rPr>
      <t>98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2009</t>
    </r>
  </si>
  <si>
    <r>
      <t>第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 xml:space="preserve">季
</t>
    </r>
    <r>
      <rPr>
        <sz val="8"/>
        <rFont val="Times New Roman"/>
        <family val="1"/>
      </rPr>
      <t>2nd Qua.</t>
    </r>
  </si>
  <si>
    <r>
      <t>當季較上季增減</t>
    </r>
    <r>
      <rPr>
        <sz val="8"/>
        <rFont val="Times New Roman"/>
        <family val="1"/>
      </rPr>
      <t xml:space="preserve">%            </t>
    </r>
    <r>
      <rPr>
        <sz val="8"/>
        <rFont val="標楷體"/>
        <family val="4"/>
      </rPr>
      <t>　　　　　　</t>
    </r>
    <r>
      <rPr>
        <sz val="8"/>
        <rFont val="Times New Roman"/>
        <family val="1"/>
      </rPr>
      <t xml:space="preserve">   VS. with Last Quarter</t>
    </r>
  </si>
  <si>
    <r>
      <t>當季較上年同季增減</t>
    </r>
    <r>
      <rPr>
        <sz val="8"/>
        <rFont val="Times New Roman"/>
        <family val="1"/>
      </rPr>
      <t>%                      VS. with Last Year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</si>
  <si>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1999</t>
    </r>
  </si>
  <si>
    <t>金額</t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</si>
  <si>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年下半年及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</si>
  <si>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t>Amount</t>
  </si>
  <si>
    <r>
      <t>民國</t>
    </r>
    <r>
      <rPr>
        <sz val="9"/>
        <rFont val="Times New Roman"/>
        <family val="1"/>
      </rPr>
      <t>88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1999</t>
    </r>
  </si>
  <si>
    <r>
      <t>民國</t>
    </r>
    <r>
      <rPr>
        <sz val="9"/>
        <rFont val="Times New Roman"/>
        <family val="1"/>
      </rPr>
      <t>89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2000</t>
    </r>
  </si>
  <si>
    <r>
      <t>民國</t>
    </r>
    <r>
      <rPr>
        <sz val="9"/>
        <rFont val="Times New Roman"/>
        <family val="1"/>
      </rPr>
      <t>90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2001</t>
    </r>
  </si>
  <si>
    <r>
      <t>民國</t>
    </r>
    <r>
      <rPr>
        <sz val="9"/>
        <rFont val="Times New Roman"/>
        <family val="1"/>
      </rPr>
      <t>91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2002</t>
    </r>
  </si>
  <si>
    <r>
      <t>民國</t>
    </r>
    <r>
      <rPr>
        <sz val="9"/>
        <rFont val="Times New Roman"/>
        <family val="1"/>
      </rPr>
      <t>92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2003</t>
    </r>
  </si>
  <si>
    <r>
      <t>第一季</t>
    </r>
    <r>
      <rPr>
        <sz val="9"/>
        <rFont val="Times New Roman"/>
        <family val="1"/>
      </rPr>
      <t xml:space="preserve">                   1st Qua.</t>
    </r>
  </si>
  <si>
    <r>
      <t>第二季</t>
    </r>
    <r>
      <rPr>
        <sz val="9"/>
        <rFont val="Times New Roman"/>
        <family val="1"/>
      </rPr>
      <t xml:space="preserve">                2nd Qua.</t>
    </r>
  </si>
  <si>
    <r>
      <t>第三季</t>
    </r>
    <r>
      <rPr>
        <sz val="9"/>
        <rFont val="Times New Roman"/>
        <family val="1"/>
      </rPr>
      <t xml:space="preserve">              3rd Qua.</t>
    </r>
  </si>
  <si>
    <r>
      <t>第四季</t>
    </r>
    <r>
      <rPr>
        <sz val="9"/>
        <rFont val="Times New Roman"/>
        <family val="1"/>
      </rPr>
      <t xml:space="preserve">                 4th Qua.</t>
    </r>
  </si>
  <si>
    <r>
      <t>民國</t>
    </r>
    <r>
      <rPr>
        <sz val="9"/>
        <rFont val="Times New Roman"/>
        <family val="1"/>
      </rPr>
      <t>93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2004</t>
    </r>
  </si>
  <si>
    <r>
      <t>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
1st Qua.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</si>
  <si>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2nd Qua.</t>
    </r>
  </si>
  <si>
    <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3rd Qua.</t>
    </r>
  </si>
  <si>
    <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 xml:space="preserve">季
</t>
    </r>
    <r>
      <rPr>
        <sz val="9"/>
        <rFont val="Times New Roman"/>
        <family val="1"/>
      </rPr>
      <t>4rd Qua.</t>
    </r>
  </si>
  <si>
    <r>
      <t>民國</t>
    </r>
    <r>
      <rPr>
        <sz val="9"/>
        <rFont val="Times New Roman"/>
        <family val="1"/>
      </rPr>
      <t>94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2005</t>
    </r>
  </si>
  <si>
    <r>
      <t>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                   1st Qua.</t>
    </r>
  </si>
  <si>
    <r>
      <t>民國</t>
    </r>
    <r>
      <rPr>
        <sz val="9"/>
        <rFont val="Times New Roman"/>
        <family val="1"/>
      </rPr>
      <t>95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2006</t>
    </r>
  </si>
  <si>
    <r>
      <t>民國</t>
    </r>
    <r>
      <rPr>
        <sz val="9"/>
        <rFont val="Times New Roman"/>
        <family val="1"/>
      </rPr>
      <t>96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2007</t>
    </r>
  </si>
  <si>
    <r>
      <t>民國</t>
    </r>
    <r>
      <rPr>
        <sz val="9"/>
        <rFont val="Times New Roman"/>
        <family val="1"/>
      </rPr>
      <t>97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2008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</si>
  <si>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                   2nd Qua.</t>
    </r>
  </si>
  <si>
    <r>
      <t>民國</t>
    </r>
    <r>
      <rPr>
        <sz val="9"/>
        <rFont val="Times New Roman"/>
        <family val="1"/>
      </rPr>
      <t>98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2009</t>
    </r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</si>
  <si>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                   2nd Qua.</t>
    </r>
  </si>
  <si>
    <r>
      <t>當季較上季增減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 xml:space="preserve">　
</t>
    </r>
    <r>
      <rPr>
        <sz val="9"/>
        <rFont val="Times New Roman"/>
        <family val="1"/>
      </rPr>
      <t>VS. with Last Quarter</t>
    </r>
  </si>
  <si>
    <r>
      <t>當季較上年同季增減</t>
    </r>
    <r>
      <rPr>
        <sz val="9"/>
        <rFont val="Times New Roman"/>
        <family val="1"/>
      </rPr>
      <t>%</t>
    </r>
    <r>
      <rPr>
        <sz val="9"/>
        <rFont val="標楷體"/>
        <family val="4"/>
      </rPr>
      <t xml:space="preserve">　
</t>
    </r>
    <r>
      <rPr>
        <sz val="9"/>
        <rFont val="Times New Roman"/>
        <family val="1"/>
      </rPr>
      <t>VS. with Last Year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</si>
  <si>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</si>
  <si>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t>98年</t>
  </si>
  <si>
    <r>
      <t>民國</t>
    </r>
    <r>
      <rPr>
        <sz val="9"/>
        <rFont val="Times New Roman"/>
        <family val="1"/>
      </rPr>
      <t>99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2010</t>
    </r>
  </si>
  <si>
    <r>
      <t xml:space="preserve">單位：家、千元
</t>
    </r>
    <r>
      <rPr>
        <sz val="10"/>
        <rFont val="Times New Roman"/>
        <family val="1"/>
      </rP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No.,NT$1,000</t>
    </r>
  </si>
  <si>
    <r>
      <t>當期較上年同期增減</t>
    </r>
    <r>
      <rPr>
        <sz val="10"/>
        <rFont val="Times New Roman"/>
        <family val="1"/>
      </rPr>
      <t>%                      VS. with Last Year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</si>
  <si>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</si>
  <si>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 xml:space="preserve">犯罪率
</t>
    </r>
    <r>
      <rPr>
        <sz val="6"/>
        <rFont val="標楷體"/>
        <family val="4"/>
      </rPr>
      <t>（件</t>
    </r>
    <r>
      <rPr>
        <sz val="6"/>
        <rFont val="Times New Roman"/>
        <family val="1"/>
      </rPr>
      <t>/</t>
    </r>
    <r>
      <rPr>
        <sz val="6"/>
        <rFont val="標楷體"/>
        <family val="4"/>
      </rPr>
      <t>十萬人口）</t>
    </r>
  </si>
  <si>
    <r>
      <t xml:space="preserve">死亡
</t>
    </r>
    <r>
      <rPr>
        <sz val="10"/>
        <rFont val="Times New Roman"/>
        <family val="1"/>
      </rPr>
      <t>Deaths</t>
    </r>
  </si>
  <si>
    <r>
      <t xml:space="preserve">受傷
</t>
    </r>
    <r>
      <rPr>
        <sz val="9"/>
        <rFont val="Times New Roman"/>
        <family val="1"/>
      </rPr>
      <t>Injuries</t>
    </r>
  </si>
  <si>
    <r>
      <t xml:space="preserve">其他
</t>
    </r>
    <r>
      <rPr>
        <sz val="10"/>
        <rFont val="Times New Roman"/>
        <family val="1"/>
      </rPr>
      <t>Others</t>
    </r>
  </si>
  <si>
    <r>
      <t xml:space="preserve">死傷人數
</t>
    </r>
    <r>
      <rPr>
        <sz val="10"/>
        <rFont val="Times New Roman"/>
        <family val="1"/>
      </rPr>
      <t>Deaths &amp; Injuries</t>
    </r>
  </si>
  <si>
    <r>
      <t xml:space="preserve">肇事原因
</t>
    </r>
    <r>
      <rPr>
        <sz val="10"/>
        <rFont val="Times New Roman"/>
        <family val="1"/>
      </rPr>
      <t>Causes</t>
    </r>
  </si>
  <si>
    <r>
      <t>財物估計損失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（千元）</t>
    </r>
    <r>
      <rPr>
        <sz val="10"/>
        <rFont val="Times New Roman"/>
        <family val="1"/>
      </rPr>
      <t>Estimated losses</t>
    </r>
    <r>
      <rPr>
        <sz val="8"/>
        <rFont val="Times New Roman"/>
        <family val="1"/>
      </rPr>
      <t>(NT$1,000)</t>
    </r>
  </si>
  <si>
    <r>
      <t>二、人口動態</t>
    </r>
    <r>
      <rPr>
        <sz val="12"/>
        <rFont val="Times New Roman"/>
        <family val="1"/>
      </rPr>
      <t xml:space="preserve"> Mobility Status of Population</t>
    </r>
    <r>
      <rPr>
        <sz val="12"/>
        <rFont val="標楷體"/>
        <family val="4"/>
      </rPr>
      <t>．．．．．．．．．．．．．．．．．．．</t>
    </r>
    <r>
      <rPr>
        <sz val="12"/>
        <rFont val="Times New Roman"/>
        <family val="1"/>
      </rPr>
      <t>2</t>
    </r>
  </si>
  <si>
    <r>
      <t>1.</t>
    </r>
    <r>
      <rPr>
        <sz val="14"/>
        <rFont val="標楷體"/>
        <family val="4"/>
      </rPr>
      <t>稅捐徵收：
本縣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季稅捐實徵淨額為</t>
    </r>
    <r>
      <rPr>
        <sz val="14"/>
        <rFont val="Times New Roman"/>
        <family val="1"/>
      </rPr>
      <t>1,274,000</t>
    </r>
    <r>
      <rPr>
        <sz val="14"/>
        <rFont val="標楷體"/>
        <family val="4"/>
      </rPr>
      <t>千元，較上季增加</t>
    </r>
    <r>
      <rPr>
        <sz val="14"/>
        <rFont val="Times New Roman"/>
        <family val="1"/>
      </rPr>
      <t>793,823</t>
    </r>
    <r>
      <rPr>
        <sz val="14"/>
        <rFont val="標楷體"/>
        <family val="4"/>
      </rPr>
      <t>千元計</t>
    </r>
    <r>
      <rPr>
        <sz val="14"/>
        <rFont val="Times New Roman"/>
        <family val="1"/>
      </rPr>
      <t>165.32%(</t>
    </r>
    <r>
      <rPr>
        <sz val="14"/>
        <rFont val="標楷體"/>
        <family val="4"/>
      </rPr>
      <t>因本季開徵地價稅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，與去年同季比較則增加</t>
    </r>
    <r>
      <rPr>
        <sz val="14"/>
        <rFont val="Times New Roman"/>
        <family val="1"/>
      </rPr>
      <t>5.81%</t>
    </r>
    <r>
      <rPr>
        <sz val="14"/>
        <rFont val="標楷體"/>
        <family val="4"/>
      </rPr>
      <t xml:space="preserve">。
</t>
    </r>
    <r>
      <rPr>
        <sz val="14"/>
        <rFont val="Times New Roman"/>
        <family val="1"/>
      </rPr>
      <t>2.</t>
    </r>
    <r>
      <rPr>
        <sz val="14"/>
        <rFont val="標楷體"/>
        <family val="4"/>
      </rPr>
      <t xml:space="preserve">徵收比重：
</t>
    </r>
    <r>
      <rPr>
        <sz val="14"/>
        <rFont val="Times New Roman"/>
        <family val="1"/>
      </rPr>
      <t>99</t>
    </r>
    <r>
      <rPr>
        <sz val="14"/>
        <rFont val="標楷體"/>
        <family val="4"/>
      </rPr>
      <t>年第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季實徵淨額其結構比重，地價稅占</t>
    </r>
    <r>
      <rPr>
        <sz val="14"/>
        <rFont val="Times New Roman"/>
        <family val="1"/>
      </rPr>
      <t>47.72%</t>
    </r>
    <r>
      <rPr>
        <sz val="14"/>
        <rFont val="標楷體"/>
        <family val="4"/>
      </rPr>
      <t>最高，土地增值稅占</t>
    </r>
    <r>
      <rPr>
        <sz val="14"/>
        <rFont val="Times New Roman"/>
        <family val="1"/>
      </rPr>
      <t>42.40%</t>
    </r>
    <r>
      <rPr>
        <sz val="14"/>
        <rFont val="標楷體"/>
        <family val="4"/>
      </rPr>
      <t>次之。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</t>
    </r>
  </si>
  <si>
    <r>
      <t>三、各鄉鎮市土地與人口</t>
    </r>
    <r>
      <rPr>
        <sz val="12"/>
        <rFont val="Times New Roman"/>
        <family val="1"/>
      </rPr>
      <t xml:space="preserve"> District Land &amp; Population</t>
    </r>
    <r>
      <rPr>
        <sz val="12"/>
        <rFont val="標楷體"/>
        <family val="4"/>
      </rPr>
      <t>．．．．．．．．．．．．．．．．．</t>
    </r>
    <r>
      <rPr>
        <sz val="12"/>
        <rFont val="Times New Roman"/>
        <family val="1"/>
      </rPr>
      <t>5</t>
    </r>
  </si>
  <si>
    <r>
      <t>四、各鄉鎮市人口趨勢</t>
    </r>
    <r>
      <rPr>
        <sz val="12"/>
        <rFont val="Times New Roman"/>
        <family val="1"/>
      </rPr>
      <t xml:space="preserve"> Trend of District Population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6</t>
    </r>
  </si>
  <si>
    <r>
      <t>五、勞動力與就業</t>
    </r>
    <r>
      <rPr>
        <sz val="12"/>
        <rFont val="Times New Roman"/>
        <family val="1"/>
      </rPr>
      <t xml:space="preserve"> Labor Force &amp; Employed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8</t>
    </r>
  </si>
  <si>
    <r>
      <t>六、稅捐徵收</t>
    </r>
    <r>
      <rPr>
        <sz val="12"/>
        <rFont val="Times New Roman"/>
        <family val="1"/>
      </rPr>
      <t xml:space="preserve"> Taxes Levied</t>
    </r>
    <r>
      <rPr>
        <sz val="12"/>
        <rFont val="標楷體"/>
        <family val="4"/>
      </rPr>
      <t>．．．．．．．．．．．．．．．．．．．．．</t>
    </r>
    <r>
      <rPr>
        <sz val="12"/>
        <rFont val="Times New Roman"/>
        <family val="1"/>
      </rPr>
      <t>11</t>
    </r>
  </si>
  <si>
    <r>
      <t>一、土地與人口</t>
    </r>
    <r>
      <rPr>
        <sz val="12"/>
        <rFont val="Times New Roman"/>
        <family val="1"/>
      </rPr>
      <t xml:space="preserve"> Land &amp; Population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1</t>
    </r>
  </si>
  <si>
    <r>
      <t>95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AY2006</t>
    </r>
  </si>
  <si>
    <t>~31~</t>
  </si>
  <si>
    <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 xml:space="preserve">季
</t>
    </r>
    <r>
      <rPr>
        <sz val="11"/>
        <rFont val="Times New Roman"/>
        <family val="1"/>
      </rPr>
      <t>4st Qua.</t>
    </r>
  </si>
  <si>
    <t>~15~</t>
  </si>
  <si>
    <r>
      <t>表</t>
    </r>
    <r>
      <rPr>
        <sz val="16"/>
        <rFont val="Times New Roman"/>
        <family val="1"/>
      </rPr>
      <t xml:space="preserve">11. </t>
    </r>
    <r>
      <rPr>
        <sz val="16"/>
        <rFont val="標楷體"/>
        <family val="4"/>
      </rPr>
      <t xml:space="preserve">保安防衛
</t>
    </r>
    <r>
      <rPr>
        <sz val="16"/>
        <rFont val="Times New Roman"/>
        <family val="1"/>
      </rPr>
      <t>Table 11. Offenses,Clearance,Offense Known to the Police</t>
    </r>
  </si>
  <si>
    <t>十一、保安防衛</t>
  </si>
  <si>
    <r>
      <t>表</t>
    </r>
    <r>
      <rPr>
        <sz val="16"/>
        <rFont val="Times New Roman"/>
        <family val="1"/>
      </rPr>
      <t xml:space="preserve">11. </t>
    </r>
    <r>
      <rPr>
        <sz val="16"/>
        <rFont val="標楷體"/>
        <family val="4"/>
      </rPr>
      <t>保安防衛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
Table 11. Offenses,Clearance,Offense Known to the Police (Cont. End)</t>
    </r>
  </si>
  <si>
    <r>
      <t xml:space="preserve">年季別
</t>
    </r>
    <r>
      <rPr>
        <sz val="11"/>
        <rFont val="Times New Roman"/>
        <family val="1"/>
      </rPr>
      <t xml:space="preserve"> Year &amp; Quarter</t>
    </r>
  </si>
  <si>
    <r>
      <t xml:space="preserve">   </t>
    </r>
    <r>
      <rPr>
        <sz val="11"/>
        <rFont val="標楷體"/>
        <family val="4"/>
      </rPr>
      <t>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事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 xml:space="preserve">  Offenses Known to the Police</t>
    </r>
  </si>
  <si>
    <t>違反社會秩序維護法案件</t>
  </si>
  <si>
    <t>經濟案件</t>
  </si>
  <si>
    <t>期中
人口數</t>
  </si>
  <si>
    <r>
      <t>全般刑案</t>
    </r>
    <r>
      <rPr>
        <sz val="10"/>
        <rFont val="Times New Roman"/>
        <family val="1"/>
      </rPr>
      <t xml:space="preserve">    Crime Volume </t>
    </r>
  </si>
  <si>
    <r>
      <t>暴力犯罪</t>
    </r>
    <r>
      <rPr>
        <sz val="10"/>
        <rFont val="Times New Roman"/>
        <family val="1"/>
      </rPr>
      <t xml:space="preserve">    Violent Crime</t>
    </r>
  </si>
  <si>
    <r>
      <t xml:space="preserve">         </t>
    </r>
    <r>
      <rPr>
        <sz val="10"/>
        <rFont val="標楷體"/>
        <family val="4"/>
      </rPr>
      <t>竊盜</t>
    </r>
    <r>
      <rPr>
        <sz val="10"/>
        <rFont val="Times New Roman"/>
        <family val="1"/>
      </rPr>
      <t xml:space="preserve">   Theft</t>
    </r>
  </si>
  <si>
    <t>Offenses Against the Law of Maintaining Public Order</t>
  </si>
  <si>
    <t>Economic Frauds</t>
  </si>
  <si>
    <r>
      <t>發生數</t>
    </r>
    <r>
      <rPr>
        <sz val="8"/>
        <rFont val="Times New Roman"/>
        <family val="1"/>
      </rPr>
      <t xml:space="preserve">   
 </t>
    </r>
    <r>
      <rPr>
        <sz val="8"/>
        <rFont val="標楷體"/>
        <family val="4"/>
      </rPr>
      <t>（件）</t>
    </r>
  </si>
  <si>
    <t>破獲數</t>
  </si>
  <si>
    <r>
      <t>破獲率（</t>
    </r>
    <r>
      <rPr>
        <sz val="8"/>
        <rFont val="Times New Roman"/>
        <family val="1"/>
      </rPr>
      <t>%</t>
    </r>
    <r>
      <rPr>
        <sz val="8"/>
        <rFont val="標楷體"/>
        <family val="4"/>
      </rPr>
      <t>）</t>
    </r>
  </si>
  <si>
    <r>
      <t>發生數</t>
    </r>
    <r>
      <rPr>
        <sz val="8"/>
        <rFont val="Times New Roman"/>
        <family val="1"/>
      </rPr>
      <t xml:space="preserve">   
</t>
    </r>
    <r>
      <rPr>
        <sz val="8"/>
        <rFont val="標楷體"/>
        <family val="4"/>
      </rPr>
      <t>（件）</t>
    </r>
  </si>
  <si>
    <r>
      <t>發生數</t>
    </r>
    <r>
      <rPr>
        <sz val="8"/>
        <rFont val="Times New Roman"/>
        <family val="1"/>
      </rPr>
      <t xml:space="preserve">  
</t>
    </r>
    <r>
      <rPr>
        <sz val="8"/>
        <rFont val="標楷體"/>
        <family val="4"/>
      </rPr>
      <t>（件）</t>
    </r>
  </si>
  <si>
    <t>處理件數</t>
  </si>
  <si>
    <t>處理人數</t>
  </si>
  <si>
    <t>案件數</t>
  </si>
  <si>
    <r>
      <t>金額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千元</t>
    </r>
    <r>
      <rPr>
        <sz val="8"/>
        <rFont val="Times New Roman"/>
        <family val="1"/>
      </rPr>
      <t>)</t>
    </r>
  </si>
  <si>
    <t>Population</t>
  </si>
  <si>
    <t>Offenses Known to the Police</t>
  </si>
  <si>
    <t>Offenses Cleared</t>
  </si>
  <si>
    <t>Clearance Rate</t>
  </si>
  <si>
    <t>Offense Rate Per 100,000 Population</t>
  </si>
  <si>
    <t>Cases</t>
  </si>
  <si>
    <t>Persons</t>
  </si>
  <si>
    <t>Amount
(NT$1,000)</t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</si>
  <si>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2000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</si>
  <si>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2001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</si>
  <si>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2002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</si>
  <si>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2003</t>
    </r>
  </si>
  <si>
    <r>
      <t>第一季</t>
    </r>
    <r>
      <rPr>
        <sz val="8"/>
        <rFont val="Times New Roman"/>
        <family val="1"/>
      </rPr>
      <t xml:space="preserve">                   1st Qua.</t>
    </r>
  </si>
  <si>
    <r>
      <t>第二季</t>
    </r>
    <r>
      <rPr>
        <sz val="8"/>
        <rFont val="Times New Roman"/>
        <family val="1"/>
      </rPr>
      <t xml:space="preserve">                2nd Qua.</t>
    </r>
  </si>
  <si>
    <r>
      <t>七、營利事業銷售額</t>
    </r>
    <r>
      <rPr>
        <sz val="12"/>
        <rFont val="Times New Roman"/>
        <family val="1"/>
      </rPr>
      <t xml:space="preserve"> Sales Amounts</t>
    </r>
    <r>
      <rPr>
        <sz val="12"/>
        <rFont val="標楷體"/>
        <family val="4"/>
      </rPr>
      <t>．．．．．．．．．．．．．．．．．．．．．</t>
    </r>
    <r>
      <rPr>
        <sz val="12"/>
        <rFont val="Times New Roman"/>
        <family val="1"/>
      </rPr>
      <t>13</t>
    </r>
  </si>
  <si>
    <r>
      <t>表</t>
    </r>
    <r>
      <rPr>
        <sz val="16"/>
        <rFont val="Times New Roman"/>
        <family val="1"/>
      </rPr>
      <t xml:space="preserve">7. </t>
    </r>
    <r>
      <rPr>
        <sz val="16"/>
        <rFont val="標楷體"/>
        <family val="4"/>
      </rPr>
      <t xml:space="preserve">營利事業銷售額
</t>
    </r>
    <r>
      <rPr>
        <sz val="16"/>
        <rFont val="Times New Roman"/>
        <family val="1"/>
      </rPr>
      <t>Table 7. Sales Amounts</t>
    </r>
  </si>
  <si>
    <r>
      <t>第三季</t>
    </r>
    <r>
      <rPr>
        <sz val="8"/>
        <rFont val="Times New Roman"/>
        <family val="1"/>
      </rPr>
      <t xml:space="preserve">              3rd Qua.</t>
    </r>
  </si>
  <si>
    <r>
      <t>第四季</t>
    </r>
    <r>
      <rPr>
        <sz val="8"/>
        <rFont val="Times New Roman"/>
        <family val="1"/>
      </rPr>
      <t xml:space="preserve">                 4th Qua.</t>
    </r>
  </si>
  <si>
    <r>
      <t>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季</t>
    </r>
    <r>
      <rPr>
        <sz val="8"/>
        <rFont val="Times New Roman"/>
        <family val="1"/>
      </rPr>
      <t xml:space="preserve">
1st Qua.</t>
    </r>
  </si>
  <si>
    <r>
      <t>當季較上季增減</t>
    </r>
    <r>
      <rPr>
        <sz val="8"/>
        <rFont val="Times New Roman"/>
        <family val="1"/>
      </rPr>
      <t>%     
VS. with Last Quarter</t>
    </r>
  </si>
  <si>
    <t>百分點</t>
  </si>
  <si>
    <t>十萬分點</t>
  </si>
  <si>
    <r>
      <t>當季較上年同季增減</t>
    </r>
    <r>
      <rPr>
        <sz val="8"/>
        <rFont val="Times New Roman"/>
        <family val="1"/>
      </rPr>
      <t>%  
VS. with Last Year</t>
    </r>
  </si>
  <si>
    <r>
      <t>說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明：犯罪率：每十萬人口刑案發生數。</t>
    </r>
  </si>
  <si>
    <t>全般刑案</t>
  </si>
  <si>
    <t>違反社維法</t>
  </si>
  <si>
    <t>經濟案件</t>
  </si>
  <si>
    <t>99.01-99.12</t>
  </si>
  <si>
    <r>
      <t xml:space="preserve">  </t>
    </r>
    <r>
      <rPr>
        <sz val="8"/>
        <rFont val="標楷體"/>
        <family val="4"/>
      </rPr>
      <t>其他經濟服務支出</t>
    </r>
    <r>
      <rPr>
        <sz val="8"/>
        <rFont val="Times New Roman"/>
        <family val="1"/>
      </rPr>
      <t>Other Economic Service</t>
    </r>
  </si>
  <si>
    <r>
      <t xml:space="preserve">  </t>
    </r>
    <r>
      <rPr>
        <sz val="8"/>
        <rFont val="標楷體"/>
        <family val="4"/>
      </rPr>
      <t>國民就業支出</t>
    </r>
    <r>
      <rPr>
        <sz val="8"/>
        <rFont val="Times New Roman"/>
        <family val="1"/>
      </rPr>
      <t>Expenditure for Employment Service</t>
    </r>
  </si>
  <si>
    <r>
      <t xml:space="preserve">  </t>
    </r>
    <r>
      <rPr>
        <sz val="8"/>
        <rFont val="標楷體"/>
        <family val="4"/>
      </rPr>
      <t>環境保護支出</t>
    </r>
    <r>
      <rPr>
        <sz val="8"/>
        <rFont val="Times New Roman"/>
        <family val="1"/>
      </rPr>
      <t>Expenditure for Environmental Protection</t>
    </r>
  </si>
  <si>
    <t>國民就業支出</t>
  </si>
  <si>
    <t>~24~</t>
  </si>
  <si>
    <t>~25~</t>
  </si>
  <si>
    <t>~26~</t>
  </si>
  <si>
    <t>~27~</t>
  </si>
  <si>
    <t>~28~</t>
  </si>
  <si>
    <t>~29~</t>
  </si>
  <si>
    <t>~30~</t>
  </si>
  <si>
    <t>~32~</t>
  </si>
  <si>
    <t>~33~</t>
  </si>
  <si>
    <t>~34~</t>
  </si>
  <si>
    <t>~35~</t>
  </si>
  <si>
    <t>~36~</t>
  </si>
  <si>
    <t>~37~</t>
  </si>
  <si>
    <t>~38~</t>
  </si>
  <si>
    <t>~39~</t>
  </si>
  <si>
    <t>~40~</t>
  </si>
  <si>
    <t>~41~</t>
  </si>
  <si>
    <t>~42~</t>
  </si>
  <si>
    <t>資料來源：本府地方稅務局</t>
  </si>
  <si>
    <t>資料來源：北區國稅局</t>
  </si>
  <si>
    <r>
      <t>八、環境保護</t>
    </r>
    <r>
      <rPr>
        <sz val="12"/>
        <rFont val="Times New Roman"/>
        <family val="1"/>
      </rPr>
      <t xml:space="preserve"> Environmental Protection</t>
    </r>
    <r>
      <rPr>
        <sz val="12"/>
        <rFont val="標楷體"/>
        <family val="4"/>
      </rPr>
      <t>．．．．．．．．．．．．．．．．．．．．</t>
    </r>
    <r>
      <rPr>
        <sz val="12"/>
        <rFont val="Times New Roman"/>
        <family val="1"/>
      </rPr>
      <t>17</t>
    </r>
  </si>
  <si>
    <r>
      <t>九、社會福利</t>
    </r>
    <r>
      <rPr>
        <sz val="12"/>
        <rFont val="Times New Roman"/>
        <family val="1"/>
      </rPr>
      <t xml:space="preserve"> Social Affairs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20</t>
    </r>
  </si>
  <si>
    <r>
      <t>十、衛生醫療</t>
    </r>
    <r>
      <rPr>
        <sz val="12"/>
        <rFont val="Times New Roman"/>
        <family val="1"/>
      </rPr>
      <t xml:space="preserve"> Public Heath</t>
    </r>
    <r>
      <rPr>
        <sz val="12"/>
        <rFont val="標楷體"/>
        <family val="4"/>
      </rPr>
      <t>．．．．．．．．．．．．．．．．．．．．．．．．．．．</t>
    </r>
    <r>
      <rPr>
        <sz val="12"/>
        <rFont val="Times New Roman"/>
        <family val="1"/>
      </rPr>
      <t>23</t>
    </r>
  </si>
  <si>
    <r>
      <t>十一、保安防衛</t>
    </r>
    <r>
      <rPr>
        <sz val="12"/>
        <rFont val="Times New Roman"/>
        <family val="1"/>
      </rPr>
      <t xml:space="preserve"> Offenses,Clearance,Offense Known to  the Police</t>
    </r>
    <r>
      <rPr>
        <sz val="12"/>
        <rFont val="標楷體"/>
        <family val="4"/>
      </rPr>
      <t>．．．．．．．．．．．．</t>
    </r>
    <r>
      <rPr>
        <sz val="12"/>
        <rFont val="Times New Roman"/>
        <family val="1"/>
      </rPr>
      <t>24</t>
    </r>
  </si>
  <si>
    <r>
      <t>十二、機動車輛</t>
    </r>
    <r>
      <rPr>
        <sz val="12"/>
        <rFont val="Times New Roman"/>
        <family val="1"/>
      </rPr>
      <t xml:space="preserve"> Motor Vehicles</t>
    </r>
    <r>
      <rPr>
        <sz val="12"/>
        <rFont val="標楷體"/>
        <family val="4"/>
      </rPr>
      <t>．．．．．．．．．．．．．．．．．．．．．．．．</t>
    </r>
    <r>
      <rPr>
        <sz val="12"/>
        <rFont val="Times New Roman"/>
        <family val="1"/>
      </rPr>
      <t>27</t>
    </r>
  </si>
  <si>
    <r>
      <t>十五、歲出預算執行情形</t>
    </r>
    <r>
      <rPr>
        <sz val="12"/>
        <rFont val="Times New Roman"/>
        <family val="1"/>
      </rPr>
      <t xml:space="preserve"> Performance of Budgetary Expenditures</t>
    </r>
    <r>
      <rPr>
        <sz val="12"/>
        <rFont val="標楷體"/>
        <family val="4"/>
      </rPr>
      <t>．．．．．．．．．．</t>
    </r>
    <r>
      <rPr>
        <sz val="12"/>
        <rFont val="Times New Roman"/>
        <family val="1"/>
      </rPr>
      <t>33</t>
    </r>
  </si>
  <si>
    <r>
      <t>十六、歲入預算執行情形</t>
    </r>
    <r>
      <rPr>
        <sz val="12"/>
        <rFont val="Times New Roman"/>
        <family val="1"/>
      </rPr>
      <t xml:space="preserve"> Performance of Budgetary Revenues</t>
    </r>
    <r>
      <rPr>
        <sz val="12"/>
        <rFont val="標楷體"/>
        <family val="4"/>
      </rPr>
      <t>．．．．．．．．．．．</t>
    </r>
    <r>
      <rPr>
        <sz val="12"/>
        <rFont val="Times New Roman"/>
        <family val="1"/>
      </rPr>
      <t>35</t>
    </r>
  </si>
  <si>
    <r>
      <t>十七、工商行業</t>
    </r>
    <r>
      <rPr>
        <sz val="12"/>
        <rFont val="Times New Roman"/>
        <family val="1"/>
      </rPr>
      <t xml:space="preserve"> Industry &amp; Commerce</t>
    </r>
    <r>
      <rPr>
        <sz val="12"/>
        <rFont val="標楷體"/>
        <family val="4"/>
      </rPr>
      <t>．．．．．．．．．．．．．．．．．</t>
    </r>
    <r>
      <rPr>
        <sz val="12"/>
        <rFont val="Times New Roman"/>
        <family val="1"/>
      </rPr>
      <t>37</t>
    </r>
  </si>
  <si>
    <r>
      <t>十八、總樓板面積</t>
    </r>
    <r>
      <rPr>
        <sz val="12"/>
        <rFont val="Times New Roman"/>
        <family val="1"/>
      </rPr>
      <t xml:space="preserve"> Total Floor Area of House Constructed Area</t>
    </r>
    <r>
      <rPr>
        <sz val="12"/>
        <rFont val="標楷體"/>
        <family val="4"/>
      </rPr>
      <t>．．．．．．．．．</t>
    </r>
    <r>
      <rPr>
        <sz val="12"/>
        <rFont val="Times New Roman"/>
        <family val="1"/>
      </rPr>
      <t>39</t>
    </r>
  </si>
  <si>
    <r>
      <t>二一、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國中小學教育概況</t>
    </r>
    <r>
      <rPr>
        <sz val="12"/>
        <rFont val="Times New Roman"/>
        <family val="1"/>
      </rPr>
      <t xml:space="preserve"> The Condition of Elementary School &amp; Junior High School</t>
    </r>
    <r>
      <rPr>
        <sz val="12"/>
        <rFont val="標楷體"/>
        <family val="4"/>
      </rPr>
      <t>．．</t>
    </r>
    <r>
      <rPr>
        <sz val="12"/>
        <rFont val="Times New Roman"/>
        <family val="1"/>
      </rPr>
      <t>45</t>
    </r>
  </si>
  <si>
    <r>
      <t>二二、臺灣地區各項物價指數</t>
    </r>
    <r>
      <rPr>
        <sz val="12"/>
        <rFont val="Times New Roman"/>
        <family val="1"/>
      </rPr>
      <t xml:space="preserve"> The Changes of Various Price Indices in Taiwan Area</t>
    </r>
    <r>
      <rPr>
        <sz val="12"/>
        <rFont val="標楷體"/>
        <family val="4"/>
      </rPr>
      <t>．．．</t>
    </r>
    <r>
      <rPr>
        <sz val="12"/>
        <rFont val="Times New Roman"/>
        <family val="1"/>
      </rPr>
      <t>47</t>
    </r>
  </si>
  <si>
    <r>
      <t>二十、漁業概況</t>
    </r>
    <r>
      <rPr>
        <sz val="12"/>
        <rFont val="Times New Roman"/>
        <family val="1"/>
      </rPr>
      <t xml:space="preserve"> The Condition of Fishery</t>
    </r>
    <r>
      <rPr>
        <sz val="12"/>
        <rFont val="標楷體"/>
        <family val="4"/>
      </rPr>
      <t>．．．．．．．．．．．．．．．．．．．</t>
    </r>
    <r>
      <rPr>
        <sz val="12"/>
        <rFont val="Times New Roman"/>
        <family val="1"/>
      </rPr>
      <t>43</t>
    </r>
  </si>
  <si>
    <r>
      <t>每萬輛機動車肇事件機率</t>
    </r>
    <r>
      <rPr>
        <sz val="8"/>
        <rFont val="Times New Roman"/>
        <family val="1"/>
      </rPr>
      <t xml:space="preserve"> 
Rate Per 10,000 Motor Vehicles</t>
    </r>
  </si>
  <si>
    <r>
      <t>刑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  <r>
      <rPr>
        <sz val="11"/>
        <rFont val="Times New Roman"/>
        <family val="1"/>
      </rPr>
      <t xml:space="preserve">  Offenses Known to the Police</t>
    </r>
  </si>
  <si>
    <t>年度</t>
  </si>
  <si>
    <t>人次</t>
  </si>
  <si>
    <r>
      <t>88</t>
    </r>
    <r>
      <rPr>
        <sz val="12"/>
        <rFont val="標楷體"/>
        <family val="4"/>
      </rPr>
      <t>年</t>
    </r>
  </si>
  <si>
    <r>
      <t>89</t>
    </r>
    <r>
      <rPr>
        <sz val="12"/>
        <rFont val="標楷體"/>
        <family val="4"/>
      </rPr>
      <t>年</t>
    </r>
  </si>
  <si>
    <r>
      <t>90</t>
    </r>
    <r>
      <rPr>
        <sz val="12"/>
        <rFont val="標楷體"/>
        <family val="4"/>
      </rPr>
      <t>年</t>
    </r>
  </si>
  <si>
    <t>冬山河</t>
  </si>
  <si>
    <t>大湖</t>
  </si>
  <si>
    <t>蘇澳冷泉</t>
  </si>
  <si>
    <t>頭城海水浴場</t>
  </si>
  <si>
    <t>武荖坑</t>
  </si>
  <si>
    <t>96年</t>
  </si>
  <si>
    <t>87年</t>
  </si>
  <si>
    <t>97年</t>
  </si>
  <si>
    <r>
      <t>其他</t>
    </r>
    <r>
      <rPr>
        <sz val="10"/>
        <rFont val="Times New Roman"/>
        <family val="1"/>
      </rPr>
      <t xml:space="preserve">  Others</t>
    </r>
  </si>
  <si>
    <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4rd Qua.</t>
    </r>
  </si>
  <si>
    <t>第2季</t>
  </si>
  <si>
    <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 xml:space="preserve">季
</t>
    </r>
    <r>
      <rPr>
        <sz val="10"/>
        <rFont val="Times New Roman"/>
        <family val="1"/>
      </rPr>
      <t>3rd Qua.</t>
    </r>
  </si>
  <si>
    <t>宜蘭縣統計季報</t>
  </si>
  <si>
    <t>~14~</t>
  </si>
  <si>
    <t>面積</t>
  </si>
  <si>
    <t>密度</t>
  </si>
  <si>
    <t>Total</t>
  </si>
  <si>
    <t>1st Qua.</t>
  </si>
  <si>
    <t>2nd Qua.</t>
  </si>
  <si>
    <t>3rd Qua.</t>
  </si>
  <si>
    <t>4th Qua.</t>
  </si>
  <si>
    <t>Population Increase</t>
  </si>
  <si>
    <t>Increase</t>
  </si>
  <si>
    <t>Birth</t>
  </si>
  <si>
    <t>Death</t>
  </si>
  <si>
    <t>Immigrants</t>
  </si>
  <si>
    <t>Emigrants</t>
  </si>
  <si>
    <t>Increase Rate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</si>
  <si>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</si>
  <si>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</si>
  <si>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</si>
  <si>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</si>
  <si>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</si>
  <si>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</si>
  <si>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</si>
  <si>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</si>
  <si>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</si>
  <si>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</si>
  <si>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</si>
  <si>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次數</t>
  </si>
  <si>
    <r>
      <t>十三、交通事故</t>
    </r>
    <r>
      <rPr>
        <sz val="12"/>
        <rFont val="Times New Roman"/>
        <family val="1"/>
      </rPr>
      <t xml:space="preserve"> Traffic Accident</t>
    </r>
    <r>
      <rPr>
        <sz val="12"/>
        <rFont val="標楷體"/>
        <family val="4"/>
      </rPr>
      <t>．．．．．．．．．．．．．．．．．．．．</t>
    </r>
    <r>
      <rPr>
        <sz val="12"/>
        <rFont val="Times New Roman"/>
        <family val="1"/>
      </rPr>
      <t>29</t>
    </r>
  </si>
  <si>
    <r>
      <t>十四、火災防護</t>
    </r>
    <r>
      <rPr>
        <sz val="12"/>
        <rFont val="Times New Roman"/>
        <family val="1"/>
      </rPr>
      <t xml:space="preserve"> Fire Protection</t>
    </r>
    <r>
      <rPr>
        <sz val="12"/>
        <rFont val="標楷體"/>
        <family val="4"/>
      </rPr>
      <t>．．．．．．．．．．．．．．．．．．</t>
    </r>
    <r>
      <rPr>
        <sz val="12"/>
        <rFont val="Times New Roman"/>
        <family val="1"/>
      </rPr>
      <t>31</t>
    </r>
  </si>
  <si>
    <t>Social Assistance for the Emergent Needed</t>
  </si>
  <si>
    <t>Persons</t>
  </si>
  <si>
    <t>Luodong  Township</t>
  </si>
  <si>
    <t>Toucheng Township</t>
  </si>
  <si>
    <t>Jhuangwei Township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</si>
  <si>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</si>
  <si>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</si>
  <si>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</si>
  <si>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</si>
  <si>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</si>
  <si>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</si>
  <si>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Living Subsidy for Low-Income Senior</t>
  </si>
  <si>
    <t>The Number That</t>
  </si>
  <si>
    <t>Failed to Comply</t>
  </si>
  <si>
    <t>with the Law</t>
  </si>
  <si>
    <t>Food Sanitation Inspection</t>
  </si>
  <si>
    <t>Counseling</t>
  </si>
  <si>
    <t>十二、機動車輛</t>
  </si>
  <si>
    <t>十三、交通事故</t>
  </si>
  <si>
    <t>十四、火災防護</t>
  </si>
  <si>
    <t>十六、預算執行－歲入（按來源別）</t>
  </si>
  <si>
    <t>十七、工商行業</t>
  </si>
  <si>
    <t>十八、總樓板面積</t>
  </si>
  <si>
    <t>發生次數</t>
  </si>
  <si>
    <t>死傷人數</t>
  </si>
  <si>
    <t>發生件數</t>
  </si>
  <si>
    <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</si>
  <si>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</si>
  <si>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>表</t>
    </r>
    <r>
      <rPr>
        <sz val="16"/>
        <rFont val="Times New Roman"/>
        <family val="1"/>
      </rPr>
      <t xml:space="preserve">18. </t>
    </r>
    <r>
      <rPr>
        <sz val="16"/>
        <rFont val="標楷體"/>
        <family val="4"/>
      </rPr>
      <t xml:space="preserve">總樓板面積
</t>
    </r>
    <r>
      <rPr>
        <sz val="16"/>
        <rFont val="Times New Roman"/>
        <family val="1"/>
      </rPr>
      <t>Table 18. Total Floor Area of House Constructed Area</t>
    </r>
  </si>
  <si>
    <r>
      <t>年季別</t>
    </r>
    <r>
      <rPr>
        <sz val="12"/>
        <rFont val="Times New Roman"/>
        <family val="1"/>
      </rPr>
      <t xml:space="preserve">              Year &amp; Quarter</t>
    </r>
  </si>
  <si>
    <r>
      <t>按構造別區分</t>
    </r>
    <r>
      <rPr>
        <sz val="12"/>
        <rFont val="Times New Roman"/>
        <family val="1"/>
      </rPr>
      <t xml:space="preserve">                               By Material</t>
    </r>
  </si>
  <si>
    <r>
      <t>合計</t>
    </r>
    <r>
      <rPr>
        <sz val="12"/>
        <rFont val="Times New Roman"/>
        <family val="1"/>
      </rPr>
      <t xml:space="preserve">          Total</t>
    </r>
  </si>
  <si>
    <r>
      <t>鋼筋混凝土</t>
    </r>
    <r>
      <rPr>
        <sz val="10"/>
        <rFont val="Times New Roman"/>
        <family val="1"/>
      </rPr>
      <t>Reinforced Concrete</t>
    </r>
  </si>
  <si>
    <r>
      <t>非鋼筋混凝土</t>
    </r>
    <r>
      <rPr>
        <sz val="10"/>
        <rFont val="Times New Roman"/>
        <family val="1"/>
      </rPr>
      <t>Nonreinforced Concrete</t>
    </r>
  </si>
  <si>
    <r>
      <t>非住宅</t>
    </r>
    <r>
      <rPr>
        <sz val="8"/>
        <rFont val="Times New Roman"/>
        <family val="1"/>
      </rPr>
      <t>Nonresidential District</t>
    </r>
  </si>
  <si>
    <r>
      <t>八十四年</t>
    </r>
    <r>
      <rPr>
        <sz val="10"/>
        <rFont val="Times New Roman"/>
        <family val="1"/>
      </rPr>
      <t>1995</t>
    </r>
  </si>
  <si>
    <t>八十四年</t>
  </si>
  <si>
    <t>九十二年第一季</t>
  </si>
  <si>
    <r>
      <t>民國</t>
    </r>
    <r>
      <rPr>
        <sz val="10"/>
        <rFont val="Times New Roman"/>
        <family val="1"/>
      </rPr>
      <t>86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1997</t>
    </r>
  </si>
  <si>
    <r>
      <t>民國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1998</t>
    </r>
  </si>
  <si>
    <r>
      <t>民國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1999</t>
    </r>
  </si>
  <si>
    <r>
      <t>民國</t>
    </r>
    <r>
      <rPr>
        <sz val="10"/>
        <rFont val="Times New Roman"/>
        <family val="1"/>
      </rPr>
      <t>89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2000</t>
    </r>
  </si>
  <si>
    <r>
      <t>民國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2001</t>
    </r>
  </si>
  <si>
    <r>
      <t>民國</t>
    </r>
    <r>
      <rPr>
        <sz val="10"/>
        <rFont val="Times New Roman"/>
        <family val="1"/>
      </rPr>
      <t>91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2002</t>
    </r>
  </si>
  <si>
    <r>
      <t>民國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2003</t>
    </r>
  </si>
  <si>
    <r>
      <t>第一季</t>
    </r>
    <r>
      <rPr>
        <sz val="10"/>
        <rFont val="Times New Roman"/>
        <family val="1"/>
      </rPr>
      <t xml:space="preserve">                   1st Qua.</t>
    </r>
  </si>
  <si>
    <t>九十二年第二季</t>
  </si>
  <si>
    <r>
      <t>當季較上季增減</t>
    </r>
    <r>
      <rPr>
        <sz val="10"/>
        <rFont val="Times New Roman"/>
        <family val="1"/>
      </rPr>
      <t>%               VS. with Last Quarter</t>
    </r>
  </si>
  <si>
    <r>
      <t>當季較上年同季增減</t>
    </r>
    <r>
      <rPr>
        <sz val="10"/>
        <rFont val="Times New Roman"/>
        <family val="1"/>
      </rPr>
      <t>%                             VS. with Last Year</t>
    </r>
  </si>
  <si>
    <t>資料來源：本府建設處</t>
  </si>
  <si>
    <r>
      <t>當季較上年同季增減</t>
    </r>
    <r>
      <rPr>
        <sz val="10"/>
        <rFont val="Times New Roman"/>
        <family val="1"/>
      </rPr>
      <t>%                      
VS. with Last Year</t>
    </r>
  </si>
  <si>
    <r>
      <t xml:space="preserve">受傷
</t>
    </r>
    <r>
      <rPr>
        <sz val="10"/>
        <rFont val="Times New Roman"/>
        <family val="1"/>
      </rPr>
      <t>Injuries</t>
    </r>
  </si>
  <si>
    <r>
      <t xml:space="preserve">平均每日發生件數
</t>
    </r>
    <r>
      <rPr>
        <sz val="10"/>
        <rFont val="Times New Roman"/>
        <family val="1"/>
      </rPr>
      <t>Cases Per Day</t>
    </r>
  </si>
  <si>
    <r>
      <t>年季別</t>
    </r>
    <r>
      <rPr>
        <sz val="10"/>
        <rFont val="Times New Roman"/>
        <family val="1"/>
      </rPr>
      <t xml:space="preserve">               
Year &amp; Quarter</t>
    </r>
  </si>
  <si>
    <r>
      <t>緊急救護服務出勤次數</t>
    </r>
    <r>
      <rPr>
        <sz val="10"/>
        <rFont val="Times New Roman"/>
        <family val="1"/>
      </rPr>
      <t xml:space="preserve">                   Times of Attendance</t>
    </r>
  </si>
  <si>
    <r>
      <t>火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災</t>
    </r>
    <r>
      <rPr>
        <sz val="10"/>
        <rFont val="Times New Roman"/>
        <family val="1"/>
      </rPr>
      <t xml:space="preserve">          Fire</t>
    </r>
  </si>
  <si>
    <r>
      <t xml:space="preserve">發生件數
</t>
    </r>
    <r>
      <rPr>
        <sz val="10"/>
        <rFont val="Times New Roman"/>
        <family val="1"/>
      </rPr>
      <t>Cases</t>
    </r>
  </si>
  <si>
    <r>
      <t>被毀房屋數</t>
    </r>
    <r>
      <rPr>
        <sz val="10"/>
        <rFont val="Times New Roman"/>
        <family val="1"/>
      </rPr>
      <t>Houses</t>
    </r>
  </si>
  <si>
    <r>
      <t>死傷人數</t>
    </r>
    <r>
      <rPr>
        <sz val="10"/>
        <rFont val="Times New Roman"/>
        <family val="1"/>
      </rPr>
      <t xml:space="preserve">                        
Deaths and Injuries</t>
    </r>
  </si>
  <si>
    <t>科目</t>
  </si>
  <si>
    <t>全年度預算數</t>
  </si>
  <si>
    <t>預算分配累計數</t>
  </si>
  <si>
    <t>實際支付累計數</t>
  </si>
  <si>
    <r>
      <t>金額</t>
    </r>
    <r>
      <rPr>
        <sz val="10"/>
        <rFont val="Times New Roman"/>
        <family val="1"/>
      </rPr>
      <t>Amount</t>
    </r>
  </si>
  <si>
    <r>
      <t>金額</t>
    </r>
    <r>
      <rPr>
        <sz val="8"/>
        <rFont val="Times New Roman"/>
        <family val="1"/>
      </rPr>
      <t>Amount</t>
    </r>
  </si>
  <si>
    <r>
      <t>表</t>
    </r>
    <r>
      <rPr>
        <sz val="16"/>
        <rFont val="Times New Roman"/>
        <family val="1"/>
      </rPr>
      <t xml:space="preserve">16. </t>
    </r>
    <r>
      <rPr>
        <sz val="16"/>
        <rFont val="標楷體"/>
        <family val="4"/>
      </rPr>
      <t xml:space="preserve">歲入預算執行情形
</t>
    </r>
    <r>
      <rPr>
        <sz val="16"/>
        <rFont val="Times New Roman"/>
        <family val="1"/>
      </rPr>
      <t>Table 16. Performance of Budgetary Revenues</t>
    </r>
  </si>
  <si>
    <t>實收納庫累計數</t>
  </si>
  <si>
    <r>
      <t xml:space="preserve">單位：平方公尺
</t>
    </r>
    <r>
      <rPr>
        <sz val="10"/>
        <rFont val="Times New Roman"/>
        <family val="1"/>
      </rP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</si>
</sst>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.00_ "/>
    <numFmt numFmtId="180" formatCode="_-* #,##0_-;\-* #,##0_-;_-* &quot;-&quot;??_-;_-@_-"/>
    <numFmt numFmtId="181" formatCode="#,##0_ "/>
    <numFmt numFmtId="182" formatCode="0.00_ "/>
    <numFmt numFmtId="183" formatCode="_(* #\ ##0_);_(* \(#,##0\);_(* &quot;-&quot;??_);_(@_)"/>
    <numFmt numFmtId="184" formatCode="0_ "/>
    <numFmt numFmtId="185" formatCode="&quot;$&quot;#,##0"/>
    <numFmt numFmtId="186" formatCode="#,##0_);[Red]\(#,##0\)"/>
    <numFmt numFmtId="187" formatCode="0_);[Red]\(0\)"/>
    <numFmt numFmtId="188" formatCode="_-* #,##0.00_-;\-* #,##0.00_-;_-* &quot;-&quot;_-;_-@_-"/>
    <numFmt numFmtId="189" formatCode="0.00_);[Red]\(0.00\)"/>
    <numFmt numFmtId="190" formatCode="_-* #,##0.0000_-;\-* #,##0.0000_-;_-* &quot;-&quot;????_-;_-@_-"/>
    <numFmt numFmtId="191" formatCode="General_)"/>
    <numFmt numFmtId="192" formatCode="0.00_)"/>
    <numFmt numFmtId="193" formatCode="_(* #,##0.00_);_(* \(#,##0.00\);_(* &quot;-&quot;??_);_(@_)"/>
    <numFmt numFmtId="194" formatCode="#,##0;[Red]#,##0"/>
    <numFmt numFmtId="195" formatCode="0.0"/>
    <numFmt numFmtId="196" formatCode="0.0_ "/>
    <numFmt numFmtId="197" formatCode="0.0%"/>
    <numFmt numFmtId="198" formatCode="&quot;NT$&quot;#,##0;\-&quot;NT$&quot;#,##0"/>
    <numFmt numFmtId="199" formatCode="&quot;NT$&quot;#,##0;[Red]\-&quot;NT$&quot;#,##0"/>
    <numFmt numFmtId="200" formatCode="&quot;NT$&quot;#,##0.00;\-&quot;NT$&quot;#,##0.00"/>
    <numFmt numFmtId="201" formatCode="&quot;NT$&quot;#,##0.00;[Red]\-&quot;NT$&quot;#,##0.00"/>
    <numFmt numFmtId="202" formatCode="_-&quot;NT$&quot;* #,##0_-;\-&quot;NT$&quot;* #,##0_-;_-&quot;NT$&quot;* &quot;-&quot;_-;_-@_-"/>
    <numFmt numFmtId="203" formatCode="_-&quot;NT$&quot;* #,##0.00_-;\-&quot;NT$&quot;* #,##0.00_-;_-&quot;NT$&quot;* &quot;-&quot;??_-;_-@_-"/>
    <numFmt numFmtId="204" formatCode="0.00;[Red]0.00"/>
    <numFmt numFmtId="205" formatCode="#,##0.0_ "/>
  </numFmts>
  <fonts count="10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20"/>
      <name val="標楷體"/>
      <family val="4"/>
    </font>
    <font>
      <sz val="14"/>
      <name val="標楷體"/>
      <family val="4"/>
    </font>
    <font>
      <sz val="10"/>
      <name val="Arial"/>
      <family val="2"/>
    </font>
    <font>
      <sz val="8"/>
      <name val="新細明體"/>
      <family val="1"/>
    </font>
    <font>
      <sz val="9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5"/>
      <name val="新細明體"/>
      <family val="1"/>
    </font>
    <font>
      <sz val="19"/>
      <name val="新細明體"/>
      <family val="1"/>
    </font>
    <font>
      <sz val="19.5"/>
      <name val="新細明體"/>
      <family val="1"/>
    </font>
    <font>
      <b/>
      <sz val="9"/>
      <name val="新細明體"/>
      <family val="1"/>
    </font>
    <font>
      <sz val="17.75"/>
      <name val="新細明體"/>
      <family val="1"/>
    </font>
    <font>
      <sz val="19.75"/>
      <name val="新細明體"/>
      <family val="1"/>
    </font>
    <font>
      <sz val="8.75"/>
      <name val="標楷體"/>
      <family val="4"/>
    </font>
    <font>
      <sz val="16.5"/>
      <name val="新細明體"/>
      <family val="1"/>
    </font>
    <font>
      <sz val="14"/>
      <color indexed="8"/>
      <name val="標楷體"/>
      <family val="4"/>
    </font>
    <font>
      <sz val="14"/>
      <name val="Times New Roman"/>
      <family val="1"/>
    </font>
    <font>
      <sz val="15.75"/>
      <name val="標楷體"/>
      <family val="4"/>
    </font>
    <font>
      <sz val="15.75"/>
      <name val="Times New Roman"/>
      <family val="1"/>
    </font>
    <font>
      <sz val="20"/>
      <name val="新細明體"/>
      <family val="1"/>
    </font>
    <font>
      <sz val="22.25"/>
      <name val="新細明體"/>
      <family val="1"/>
    </font>
    <font>
      <sz val="20.75"/>
      <name val="新細明體"/>
      <family val="1"/>
    </font>
    <font>
      <sz val="25.5"/>
      <name val="新細明體"/>
      <family val="1"/>
    </font>
    <font>
      <sz val="10.25"/>
      <name val="標楷體"/>
      <family val="4"/>
    </font>
    <font>
      <sz val="9.75"/>
      <name val="新細明體"/>
      <family val="1"/>
    </font>
    <font>
      <sz val="10.75"/>
      <name val="新細明體"/>
      <family val="1"/>
    </font>
    <font>
      <sz val="20.5"/>
      <name val="新細明體"/>
      <family val="1"/>
    </font>
    <font>
      <sz val="18"/>
      <name val="新細明體"/>
      <family val="1"/>
    </font>
    <font>
      <sz val="19.25"/>
      <name val="新細明體"/>
      <family val="1"/>
    </font>
    <font>
      <sz val="23.75"/>
      <name val="新細明體"/>
      <family val="1"/>
    </font>
    <font>
      <sz val="9.75"/>
      <name val="Arial"/>
      <family val="2"/>
    </font>
    <font>
      <sz val="10.5"/>
      <name val="標楷體"/>
      <family val="4"/>
    </font>
    <font>
      <sz val="8"/>
      <name val="細明體"/>
      <family val="3"/>
    </font>
    <font>
      <vertAlign val="superscript"/>
      <sz val="11"/>
      <name val="Times New Roman"/>
      <family val="1"/>
    </font>
    <font>
      <sz val="8"/>
      <color indexed="8"/>
      <name val="新細明體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.25"/>
      <name val="標楷體"/>
      <family val="4"/>
    </font>
    <font>
      <sz val="16.25"/>
      <name val="Times New Roman"/>
      <family val="1"/>
    </font>
    <font>
      <sz val="9"/>
      <name val="細明體"/>
      <family val="3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sz val="2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vertAlign val="subscript"/>
      <sz val="20"/>
      <name val="Times New Roman"/>
      <family val="1"/>
    </font>
    <font>
      <vertAlign val="superscript"/>
      <sz val="12"/>
      <name val="Times New Roman"/>
      <family val="1"/>
    </font>
    <font>
      <sz val="15.25"/>
      <name val="標楷體"/>
      <family val="4"/>
    </font>
    <font>
      <sz val="17"/>
      <name val="新細明體"/>
      <family val="1"/>
    </font>
    <font>
      <sz val="15.25"/>
      <name val="新細明體"/>
      <family val="1"/>
    </font>
    <font>
      <sz val="20.25"/>
      <name val="新細明體"/>
      <family val="1"/>
    </font>
    <font>
      <sz val="10.75"/>
      <name val="標楷體"/>
      <family val="4"/>
    </font>
    <font>
      <sz val="8.25"/>
      <name val="新細明體"/>
      <family val="1"/>
    </font>
    <font>
      <sz val="11.25"/>
      <name val="標楷體"/>
      <family val="4"/>
    </font>
    <font>
      <sz val="11.25"/>
      <name val="Times New Roman"/>
      <family val="1"/>
    </font>
    <font>
      <sz val="9.25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5.5"/>
      <name val="標楷體"/>
      <family val="4"/>
    </font>
    <font>
      <sz val="15.5"/>
      <name val="Times New Roman"/>
      <family val="1"/>
    </font>
    <font>
      <sz val="18"/>
      <name val="標楷體"/>
      <family val="4"/>
    </font>
    <font>
      <sz val="10"/>
      <color indexed="10"/>
      <name val="Times New Roman"/>
      <family val="1"/>
    </font>
    <font>
      <sz val="8.75"/>
      <name val="Times New Roman"/>
      <family val="1"/>
    </font>
    <font>
      <sz val="6"/>
      <name val="Times New Roman"/>
      <family val="1"/>
    </font>
    <font>
      <sz val="16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7"/>
      <name val="標楷體"/>
      <family val="4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sz val="14"/>
      <color indexed="8"/>
      <name val="Times New Roman"/>
      <family val="1"/>
    </font>
    <font>
      <sz val="11.75"/>
      <name val="Times New Roman"/>
      <family val="1"/>
    </font>
    <font>
      <sz val="11.75"/>
      <name val="標楷體"/>
      <family val="4"/>
    </font>
    <font>
      <sz val="9.75"/>
      <name val="標楷體"/>
      <family val="4"/>
    </font>
    <font>
      <sz val="8.25"/>
      <name val="Times New Roman"/>
      <family val="1"/>
    </font>
    <font>
      <sz val="11.5"/>
      <name val="標楷體"/>
      <family val="4"/>
    </font>
    <font>
      <sz val="11.5"/>
      <name val="Times New Roman"/>
      <family val="1"/>
    </font>
    <font>
      <sz val="6"/>
      <name val="標楷體"/>
      <family val="4"/>
    </font>
    <font>
      <sz val="23"/>
      <name val="標楷體"/>
      <family val="4"/>
    </font>
    <font>
      <sz val="10.25"/>
      <name val="Times New Roman"/>
      <family val="1"/>
    </font>
    <font>
      <sz val="14"/>
      <name val="細明體"/>
      <family val="3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Border="0" applyAlignment="0">
      <protection/>
    </xf>
    <xf numFmtId="191" fontId="65" fillId="2" borderId="1" applyNumberFormat="0" applyFont="0" applyFill="0" applyBorder="0">
      <alignment horizontal="center" vertical="center"/>
      <protection/>
    </xf>
    <xf numFmtId="192" fontId="6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41" fontId="4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86" fontId="0" fillId="0" borderId="0" xfId="0" applyNumberFormat="1" applyAlignment="1">
      <alignment/>
    </xf>
    <xf numFmtId="0" fontId="6" fillId="0" borderId="3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41" fontId="18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1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1" fontId="4" fillId="0" borderId="0" xfId="0" applyNumberFormat="1" applyFont="1" applyAlignment="1">
      <alignment/>
    </xf>
    <xf numFmtId="0" fontId="18" fillId="0" borderId="3" xfId="0" applyFont="1" applyBorder="1" applyAlignment="1">
      <alignment horizontal="left" vertical="center"/>
    </xf>
    <xf numFmtId="41" fontId="4" fillId="0" borderId="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2" fontId="17" fillId="0" borderId="8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3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/>
    </xf>
    <xf numFmtId="3" fontId="5" fillId="0" borderId="6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8" fillId="0" borderId="8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79" fontId="0" fillId="0" borderId="0" xfId="0" applyNumberForma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179" fontId="8" fillId="0" borderId="8" xfId="2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/>
    </xf>
    <xf numFmtId="186" fontId="5" fillId="0" borderId="0" xfId="2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centerContinuous" vertical="center"/>
    </xf>
    <xf numFmtId="0" fontId="7" fillId="0" borderId="1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9" fillId="0" borderId="3" xfId="0" applyFont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2" fillId="0" borderId="15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2" fillId="3" borderId="19" xfId="0" applyFont="1" applyFill="1" applyBorder="1" applyAlignment="1">
      <alignment horizontal="center" vertical="center"/>
    </xf>
    <xf numFmtId="0" fontId="7" fillId="0" borderId="3" xfId="0" applyFont="1" applyFill="1" applyBorder="1" applyAlignment="1" quotePrefix="1">
      <alignment vertical="center"/>
    </xf>
    <xf numFmtId="0" fontId="12" fillId="0" borderId="0" xfId="0" applyFont="1" applyFill="1" applyBorder="1" applyAlignment="1" quotePrefix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1" fontId="6" fillId="0" borderId="0" xfId="0" applyNumberFormat="1" applyFont="1" applyAlignment="1">
      <alignment/>
    </xf>
    <xf numFmtId="0" fontId="7" fillId="0" borderId="20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1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12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4" xfId="0" applyFont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18" fillId="0" borderId="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6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63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distributed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2" fillId="0" borderId="15" xfId="0" applyFont="1" applyBorder="1" applyAlignment="1">
      <alignment horizontal="distributed" vertical="center"/>
    </xf>
    <xf numFmtId="3" fontId="5" fillId="0" borderId="6" xfId="0" applyNumberFormat="1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distributed" vertical="center"/>
    </xf>
    <xf numFmtId="4" fontId="5" fillId="0" borderId="6" xfId="0" applyNumberFormat="1" applyFont="1" applyBorder="1" applyAlignment="1">
      <alignment vertical="center"/>
    </xf>
    <xf numFmtId="41" fontId="5" fillId="0" borderId="8" xfId="2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distributed" vertical="center"/>
    </xf>
    <xf numFmtId="3" fontId="5" fillId="0" borderId="0" xfId="20" applyNumberFormat="1" applyFont="1" applyAlignment="1">
      <alignment vertical="center"/>
    </xf>
    <xf numFmtId="3" fontId="5" fillId="0" borderId="0" xfId="20" applyNumberFormat="1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 horizontal="right"/>
    </xf>
    <xf numFmtId="0" fontId="18" fillId="0" borderId="3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190" fontId="6" fillId="0" borderId="0" xfId="0" applyNumberFormat="1" applyFont="1" applyAlignment="1">
      <alignment/>
    </xf>
    <xf numFmtId="0" fontId="1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 wrapText="1"/>
    </xf>
    <xf numFmtId="0" fontId="11" fillId="0" borderId="4" xfId="0" applyFont="1" applyBorder="1" applyAlignment="1">
      <alignment horizontal="distributed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distributed" vertic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distributed" vertical="center" wrapText="1"/>
    </xf>
    <xf numFmtId="0" fontId="6" fillId="0" borderId="0" xfId="0" applyFont="1" applyAlignment="1">
      <alignment vertical="top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top"/>
    </xf>
    <xf numFmtId="41" fontId="5" fillId="0" borderId="0" xfId="0" applyNumberFormat="1" applyFont="1" applyAlignment="1">
      <alignment vertical="center"/>
    </xf>
    <xf numFmtId="0" fontId="19" fillId="0" borderId="3" xfId="0" applyFont="1" applyBorder="1" applyAlignment="1">
      <alignment horizontal="distributed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67" fillId="0" borderId="0" xfId="0" applyFont="1" applyAlignment="1">
      <alignment/>
    </xf>
    <xf numFmtId="0" fontId="6" fillId="0" borderId="0" xfId="0" applyFont="1" applyFill="1" applyAlignment="1">
      <alignment/>
    </xf>
    <xf numFmtId="0" fontId="68" fillId="0" borderId="0" xfId="0" applyFont="1" applyAlignment="1">
      <alignment/>
    </xf>
    <xf numFmtId="0" fontId="12" fillId="0" borderId="27" xfId="0" applyFont="1" applyBorder="1" applyAlignment="1">
      <alignment horizontal="distributed"/>
    </xf>
    <xf numFmtId="0" fontId="7" fillId="0" borderId="18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/>
    </xf>
    <xf numFmtId="0" fontId="7" fillId="0" borderId="29" xfId="0" applyFont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30" xfId="0" applyFont="1" applyFill="1" applyBorder="1" applyAlignment="1">
      <alignment horizontal="distributed"/>
    </xf>
    <xf numFmtId="0" fontId="12" fillId="0" borderId="6" xfId="0" applyFont="1" applyBorder="1" applyAlignment="1">
      <alignment horizontal="distributed"/>
    </xf>
    <xf numFmtId="0" fontId="12" fillId="0" borderId="16" xfId="0" applyFont="1" applyFill="1" applyBorder="1" applyAlignment="1">
      <alignment horizontal="distributed"/>
    </xf>
    <xf numFmtId="0" fontId="12" fillId="0" borderId="27" xfId="0" applyFont="1" applyFill="1" applyBorder="1" applyAlignment="1">
      <alignment horizontal="distributed"/>
    </xf>
    <xf numFmtId="0" fontId="7" fillId="0" borderId="18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27" xfId="0" applyFont="1" applyBorder="1" applyAlignment="1">
      <alignment horizontal="distributed" vertical="top"/>
    </xf>
    <xf numFmtId="0" fontId="11" fillId="0" borderId="2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180" fontId="5" fillId="0" borderId="0" xfId="2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41" fontId="5" fillId="0" borderId="0" xfId="20" applyNumberFormat="1" applyFont="1" applyAlignment="1">
      <alignment vertical="center"/>
    </xf>
    <xf numFmtId="187" fontId="5" fillId="0" borderId="0" xfId="20" applyNumberFormat="1" applyFont="1" applyAlignment="1">
      <alignment vertical="center"/>
    </xf>
    <xf numFmtId="0" fontId="19" fillId="0" borderId="3" xfId="0" applyFont="1" applyBorder="1" applyAlignment="1">
      <alignment horizontal="right" vertical="center" wrapText="1"/>
    </xf>
    <xf numFmtId="0" fontId="19" fillId="0" borderId="32" xfId="0" applyFont="1" applyBorder="1" applyAlignment="1">
      <alignment horizontal="center" vertical="center" wrapText="1"/>
    </xf>
    <xf numFmtId="182" fontId="5" fillId="0" borderId="33" xfId="24" applyNumberFormat="1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6" fillId="0" borderId="3" xfId="0" applyFont="1" applyBorder="1" applyAlignment="1" applyProtection="1">
      <alignment horizontal="left" vertical="center"/>
      <protection hidden="1"/>
    </xf>
    <xf numFmtId="180" fontId="5" fillId="0" borderId="0" xfId="20" applyNumberFormat="1" applyFont="1" applyAlignment="1">
      <alignment/>
    </xf>
    <xf numFmtId="180" fontId="5" fillId="0" borderId="0" xfId="2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31" fillId="0" borderId="0" xfId="0" applyFont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80" fontId="11" fillId="0" borderId="31" xfId="20" applyNumberFormat="1" applyFont="1" applyBorder="1" applyAlignment="1">
      <alignment horizontal="center" wrapText="1"/>
    </xf>
    <xf numFmtId="180" fontId="11" fillId="0" borderId="4" xfId="20" applyNumberFormat="1" applyFont="1" applyBorder="1" applyAlignment="1">
      <alignment horizontal="center" wrapText="1"/>
    </xf>
    <xf numFmtId="180" fontId="11" fillId="0" borderId="13" xfId="2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right" vertical="center" wrapText="1"/>
    </xf>
    <xf numFmtId="180" fontId="5" fillId="0" borderId="0" xfId="20" applyNumberFormat="1" applyFont="1" applyAlignment="1">
      <alignment horizontal="right" vertical="center"/>
    </xf>
    <xf numFmtId="180" fontId="5" fillId="0" borderId="0" xfId="2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182" fontId="5" fillId="0" borderId="8" xfId="24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 shrinkToFit="1"/>
    </xf>
    <xf numFmtId="3" fontId="8" fillId="0" borderId="0" xfId="0" applyNumberFormat="1" applyFont="1" applyBorder="1" applyAlignment="1">
      <alignment horizontal="right" vertical="center" shrinkToFit="1"/>
    </xf>
    <xf numFmtId="3" fontId="8" fillId="0" borderId="0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top" shrinkToFit="1"/>
    </xf>
    <xf numFmtId="0" fontId="31" fillId="0" borderId="0" xfId="0" applyFont="1" applyAlignment="1">
      <alignment vertical="top" wrapText="1" shrinkToFi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shrinkToFit="1"/>
    </xf>
    <xf numFmtId="0" fontId="6" fillId="0" borderId="0" xfId="0" applyNumberFormat="1" applyFont="1" applyAlignment="1">
      <alignment/>
    </xf>
    <xf numFmtId="182" fontId="5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horizontal="right" vertical="center" shrinkToFit="1"/>
    </xf>
    <xf numFmtId="10" fontId="6" fillId="0" borderId="0" xfId="0" applyNumberFormat="1" applyFont="1" applyAlignment="1">
      <alignment/>
    </xf>
    <xf numFmtId="181" fontId="5" fillId="0" borderId="0" xfId="0" applyNumberFormat="1" applyFont="1" applyAlignment="1">
      <alignment horizontal="right" vertical="center"/>
    </xf>
    <xf numFmtId="184" fontId="5" fillId="0" borderId="13" xfId="0" applyNumberFormat="1" applyFont="1" applyBorder="1" applyAlignment="1">
      <alignment horizontal="right" vertical="center"/>
    </xf>
    <xf numFmtId="186" fontId="6" fillId="0" borderId="0" xfId="0" applyNumberFormat="1" applyFont="1" applyAlignment="1">
      <alignment/>
    </xf>
    <xf numFmtId="179" fontId="5" fillId="0" borderId="13" xfId="0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 wrapText="1"/>
    </xf>
    <xf numFmtId="182" fontId="19" fillId="0" borderId="1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86" fontId="7" fillId="0" borderId="21" xfId="0" applyNumberFormat="1" applyFont="1" applyBorder="1" applyAlignment="1">
      <alignment horizontal="center" vertical="center" wrapText="1"/>
    </xf>
    <xf numFmtId="186" fontId="11" fillId="0" borderId="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179" fontId="7" fillId="0" borderId="8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top"/>
    </xf>
    <xf numFmtId="186" fontId="5" fillId="0" borderId="6" xfId="0" applyNumberFormat="1" applyFont="1" applyBorder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86" fontId="5" fillId="0" borderId="6" xfId="0" applyNumberFormat="1" applyFont="1" applyBorder="1" applyAlignment="1">
      <alignment horizontal="right" vertical="top"/>
    </xf>
    <xf numFmtId="186" fontId="5" fillId="0" borderId="0" xfId="0" applyNumberFormat="1" applyFont="1" applyAlignment="1">
      <alignment horizontal="right" vertical="top"/>
    </xf>
    <xf numFmtId="186" fontId="5" fillId="0" borderId="6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6" xfId="0" applyNumberFormat="1" applyFont="1" applyFill="1" applyBorder="1" applyAlignment="1">
      <alignment horizontal="right" vertical="center"/>
    </xf>
    <xf numFmtId="186" fontId="5" fillId="0" borderId="0" xfId="20" applyNumberFormat="1" applyFont="1" applyAlignment="1">
      <alignment horizontal="right" vertical="center"/>
    </xf>
    <xf numFmtId="0" fontId="19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82" fontId="18" fillId="0" borderId="4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2" fontId="18" fillId="0" borderId="25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2" fontId="78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1" fontId="5" fillId="0" borderId="6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81" fontId="5" fillId="0" borderId="0" xfId="0" applyNumberFormat="1" applyFont="1" applyFill="1" applyAlignment="1">
      <alignment vertical="center"/>
    </xf>
    <xf numFmtId="179" fontId="79" fillId="0" borderId="13" xfId="0" applyNumberFormat="1" applyFont="1" applyBorder="1" applyAlignment="1">
      <alignment vertical="center"/>
    </xf>
    <xf numFmtId="182" fontId="19" fillId="0" borderId="27" xfId="0" applyNumberFormat="1" applyFont="1" applyBorder="1" applyAlignment="1">
      <alignment horizontal="center" vertical="center" wrapText="1"/>
    </xf>
    <xf numFmtId="182" fontId="19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Border="1" applyAlignment="1">
      <alignment horizontal="distributed" wrapText="1"/>
    </xf>
    <xf numFmtId="0" fontId="7" fillId="0" borderId="26" xfId="0" applyFont="1" applyBorder="1" applyAlignment="1">
      <alignment horizontal="distributed"/>
    </xf>
    <xf numFmtId="0" fontId="7" fillId="0" borderId="18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top"/>
    </xf>
    <xf numFmtId="0" fontId="6" fillId="0" borderId="10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43" fontId="11" fillId="0" borderId="0" xfId="2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41" fontId="11" fillId="0" borderId="0" xfId="20" applyNumberFormat="1" applyFont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20" applyNumberFormat="1" applyFont="1" applyAlignment="1">
      <alignment horizontal="right" vertical="center"/>
    </xf>
    <xf numFmtId="41" fontId="5" fillId="0" borderId="0" xfId="2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2" fillId="0" borderId="3" xfId="0" applyFont="1" applyBorder="1" applyAlignment="1">
      <alignment horizontal="distributed" vertic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6" xfId="0" applyNumberFormat="1" applyFont="1" applyBorder="1" applyAlignment="1">
      <alignment/>
    </xf>
    <xf numFmtId="0" fontId="6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6" fillId="0" borderId="6" xfId="0" applyFont="1" applyBorder="1" applyAlignment="1">
      <alignment vertical="center"/>
    </xf>
    <xf numFmtId="41" fontId="5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182" fontId="85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1" fillId="0" borderId="6" xfId="0" applyFont="1" applyBorder="1" applyAlignment="1">
      <alignment vertical="center"/>
    </xf>
    <xf numFmtId="0" fontId="31" fillId="0" borderId="0" xfId="0" applyFont="1" applyAlignment="1">
      <alignment vertical="center"/>
    </xf>
    <xf numFmtId="189" fontId="5" fillId="0" borderId="0" xfId="0" applyNumberFormat="1" applyFont="1" applyAlignment="1">
      <alignment vertical="center"/>
    </xf>
    <xf numFmtId="43" fontId="5" fillId="0" borderId="0" xfId="20" applyFont="1" applyAlignment="1">
      <alignment vertical="center"/>
    </xf>
    <xf numFmtId="0" fontId="5" fillId="0" borderId="6" xfId="0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13" xfId="0" applyNumberFormat="1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179" fontId="5" fillId="0" borderId="0" xfId="0" applyNumberFormat="1" applyFont="1" applyBorder="1" applyAlignment="1">
      <alignment horizontal="right" vertical="center"/>
    </xf>
    <xf numFmtId="188" fontId="5" fillId="0" borderId="0" xfId="20" applyNumberFormat="1" applyFont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188" fontId="5" fillId="0" borderId="8" xfId="0" applyNumberFormat="1" applyFont="1" applyBorder="1" applyAlignment="1">
      <alignment horizontal="right" vertical="center"/>
    </xf>
    <xf numFmtId="41" fontId="5" fillId="0" borderId="35" xfId="0" applyNumberFormat="1" applyFont="1" applyBorder="1" applyAlignment="1">
      <alignment/>
    </xf>
    <xf numFmtId="41" fontId="31" fillId="0" borderId="6" xfId="0" applyNumberFormat="1" applyFont="1" applyBorder="1" applyAlignment="1">
      <alignment/>
    </xf>
    <xf numFmtId="41" fontId="31" fillId="0" borderId="0" xfId="0" applyNumberFormat="1" applyFont="1" applyBorder="1" applyAlignment="1">
      <alignment/>
    </xf>
    <xf numFmtId="41" fontId="31" fillId="0" borderId="0" xfId="0" applyNumberFormat="1" applyFont="1" applyAlignment="1">
      <alignment/>
    </xf>
    <xf numFmtId="186" fontId="5" fillId="0" borderId="0" xfId="0" applyNumberFormat="1" applyFont="1" applyBorder="1" applyAlignment="1">
      <alignment vertical="center"/>
    </xf>
    <xf numFmtId="181" fontId="12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182" fontId="6" fillId="0" borderId="0" xfId="0" applyNumberFormat="1" applyFont="1" applyAlignment="1">
      <alignment/>
    </xf>
    <xf numFmtId="0" fontId="86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18" fillId="0" borderId="0" xfId="0" applyFont="1" applyAlignment="1">
      <alignment/>
    </xf>
    <xf numFmtId="0" fontId="51" fillId="0" borderId="0" xfId="0" applyFont="1" applyAlignment="1">
      <alignment/>
    </xf>
    <xf numFmtId="182" fontId="5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/>
    </xf>
    <xf numFmtId="3" fontId="18" fillId="0" borderId="0" xfId="20" applyNumberFormat="1" applyFont="1" applyBorder="1" applyAlignment="1">
      <alignment vertical="center"/>
    </xf>
    <xf numFmtId="41" fontId="18" fillId="0" borderId="0" xfId="20" applyNumberFormat="1" applyFont="1" applyBorder="1" applyAlignment="1">
      <alignment vertical="center"/>
    </xf>
    <xf numFmtId="41" fontId="18" fillId="0" borderId="0" xfId="0" applyNumberFormat="1" applyFont="1" applyAlignment="1">
      <alignment horizontal="right" vertical="center"/>
    </xf>
    <xf numFmtId="41" fontId="87" fillId="0" borderId="0" xfId="20" applyNumberFormat="1" applyFont="1" applyBorder="1" applyAlignment="1">
      <alignment vertical="center"/>
    </xf>
    <xf numFmtId="188" fontId="18" fillId="0" borderId="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3" fontId="18" fillId="0" borderId="31" xfId="0" applyNumberFormat="1" applyFont="1" applyBorder="1" applyAlignment="1">
      <alignment horizontal="right" vertical="center"/>
    </xf>
    <xf numFmtId="179" fontId="18" fillId="0" borderId="13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1" fontId="6" fillId="0" borderId="6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6" fillId="0" borderId="1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81" fontId="5" fillId="0" borderId="35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1" fontId="5" fillId="0" borderId="6" xfId="0" applyNumberFormat="1" applyFont="1" applyBorder="1" applyAlignment="1">
      <alignment horizontal="right"/>
    </xf>
    <xf numFmtId="181" fontId="5" fillId="0" borderId="6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3" xfId="20" applyNumberFormat="1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top" wrapText="1"/>
    </xf>
    <xf numFmtId="0" fontId="3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left" vertical="top" wrapText="1"/>
    </xf>
    <xf numFmtId="41" fontId="5" fillId="0" borderId="35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right"/>
    </xf>
    <xf numFmtId="181" fontId="6" fillId="0" borderId="0" xfId="0" applyNumberFormat="1" applyFont="1" applyAlignment="1">
      <alignment horizontal="right"/>
    </xf>
    <xf numFmtId="181" fontId="5" fillId="0" borderId="0" xfId="0" applyNumberFormat="1" applyFont="1" applyBorder="1" applyAlignment="1">
      <alignment/>
    </xf>
    <xf numFmtId="181" fontId="31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31" fillId="0" borderId="0" xfId="0" applyFont="1" applyAlignment="1">
      <alignment/>
    </xf>
    <xf numFmtId="41" fontId="31" fillId="0" borderId="0" xfId="0" applyNumberFormat="1" applyFont="1" applyAlignment="1">
      <alignment/>
    </xf>
    <xf numFmtId="0" fontId="31" fillId="0" borderId="13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3" fontId="5" fillId="0" borderId="35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12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" fillId="0" borderId="0" xfId="0" applyNumberFormat="1" applyFont="1" applyBorder="1" applyAlignment="1">
      <alignment horizontal="center" wrapText="1"/>
    </xf>
    <xf numFmtId="184" fontId="10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wrapText="1"/>
    </xf>
    <xf numFmtId="0" fontId="12" fillId="0" borderId="3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49" fontId="8" fillId="0" borderId="0" xfId="19" applyNumberFormat="1" applyFont="1" applyBorder="1" applyAlignment="1">
      <alignment horizontal="center" vertical="center" wrapText="1"/>
      <protection/>
    </xf>
    <xf numFmtId="49" fontId="11" fillId="0" borderId="25" xfId="19" applyNumberFormat="1" applyFont="1" applyBorder="1" applyAlignment="1">
      <alignment horizontal="center" vertical="center" wrapText="1"/>
      <protection/>
    </xf>
    <xf numFmtId="49" fontId="11" fillId="0" borderId="13" xfId="19" applyNumberFormat="1" applyFont="1" applyBorder="1" applyAlignment="1">
      <alignment horizontal="center" vertical="center" wrapText="1"/>
      <protection/>
    </xf>
    <xf numFmtId="49" fontId="8" fillId="0" borderId="16" xfId="19" applyNumberFormat="1" applyFont="1" applyBorder="1" applyAlignment="1">
      <alignment horizontal="center" vertical="center" wrapText="1"/>
      <protection/>
    </xf>
    <xf numFmtId="49" fontId="11" fillId="0" borderId="4" xfId="19" applyNumberFormat="1" applyFont="1" applyBorder="1" applyAlignment="1">
      <alignment horizontal="center" vertical="center" wrapText="1"/>
      <protection/>
    </xf>
    <xf numFmtId="49" fontId="8" fillId="0" borderId="17" xfId="19" applyNumberFormat="1" applyFont="1" applyBorder="1" applyAlignment="1">
      <alignment horizontal="center" vertical="center" wrapText="1"/>
      <protection/>
    </xf>
    <xf numFmtId="49" fontId="8" fillId="0" borderId="28" xfId="19" applyNumberFormat="1" applyFont="1" applyBorder="1" applyAlignment="1">
      <alignment horizontal="center" vertical="center" wrapText="1"/>
      <protection/>
    </xf>
    <xf numFmtId="49" fontId="11" fillId="0" borderId="24" xfId="19" applyNumberFormat="1" applyFont="1" applyBorder="1" applyAlignment="1">
      <alignment horizontal="center" vertical="center" wrapText="1"/>
      <protection/>
    </xf>
    <xf numFmtId="49" fontId="11" fillId="0" borderId="11" xfId="19" applyNumberFormat="1" applyFont="1" applyBorder="1" applyAlignment="1">
      <alignment horizontal="center" vertical="center" wrapText="1"/>
      <protection/>
    </xf>
    <xf numFmtId="49" fontId="11" fillId="0" borderId="0" xfId="19" applyNumberFormat="1" applyFont="1" applyBorder="1" applyAlignment="1">
      <alignment horizontal="center" vertical="center" wrapText="1"/>
      <protection/>
    </xf>
    <xf numFmtId="49" fontId="8" fillId="0" borderId="17" xfId="19" applyNumberFormat="1" applyFont="1" applyBorder="1" applyAlignment="1" applyProtection="1">
      <alignment horizontal="center" vertical="center" wrapText="1"/>
      <protection locked="0"/>
    </xf>
    <xf numFmtId="49" fontId="8" fillId="0" borderId="26" xfId="19" applyNumberFormat="1" applyFont="1" applyBorder="1" applyAlignment="1">
      <alignment horizontal="center" vertical="center" wrapText="1"/>
      <protection/>
    </xf>
    <xf numFmtId="49" fontId="8" fillId="0" borderId="20" xfId="22" applyNumberFormat="1" applyFont="1" applyBorder="1" applyAlignment="1">
      <alignment horizontal="center" vertical="center" wrapText="1"/>
    </xf>
    <xf numFmtId="49" fontId="8" fillId="0" borderId="30" xfId="19" applyNumberFormat="1" applyFont="1" applyBorder="1" applyAlignment="1">
      <alignment horizontal="center" vertical="center" wrapText="1"/>
      <protection/>
    </xf>
    <xf numFmtId="49" fontId="8" fillId="0" borderId="20" xfId="22" applyNumberFormat="1" applyFont="1" applyBorder="1" applyAlignment="1" applyProtection="1">
      <alignment horizontal="center" vertical="center" wrapText="1"/>
      <protection locked="0"/>
    </xf>
    <xf numFmtId="49" fontId="8" fillId="0" borderId="8" xfId="22" applyNumberFormat="1" applyFont="1" applyBorder="1" applyAlignment="1">
      <alignment horizontal="center" vertical="center" wrapText="1"/>
    </xf>
    <xf numFmtId="49" fontId="8" fillId="0" borderId="39" xfId="22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85" fontId="6" fillId="0" borderId="0" xfId="0" applyNumberFormat="1" applyFont="1" applyAlignment="1">
      <alignment horizontal="center" wrapText="1"/>
    </xf>
    <xf numFmtId="49" fontId="8" fillId="0" borderId="0" xfId="19" applyNumberFormat="1" applyFont="1" applyBorder="1" applyAlignment="1" applyProtection="1">
      <alignment horizontal="center" vertical="center" wrapText="1"/>
      <protection locked="0"/>
    </xf>
    <xf numFmtId="185" fontId="9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41" fontId="11" fillId="0" borderId="35" xfId="0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41" fontId="11" fillId="0" borderId="6" xfId="0" applyNumberFormat="1" applyFont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18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6" fontId="31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right" vertical="center"/>
    </xf>
    <xf numFmtId="4" fontId="79" fillId="0" borderId="6" xfId="0" applyNumberFormat="1" applyFont="1" applyBorder="1" applyAlignment="1">
      <alignment vertical="center"/>
    </xf>
    <xf numFmtId="4" fontId="79" fillId="0" borderId="0" xfId="0" applyNumberFormat="1" applyFont="1" applyFill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4" fontId="79" fillId="0" borderId="0" xfId="0" applyNumberFormat="1" applyFont="1" applyFill="1" applyBorder="1" applyAlignment="1">
      <alignment horizontal="right" vertical="center"/>
    </xf>
    <xf numFmtId="3" fontId="79" fillId="0" borderId="0" xfId="0" applyNumberFormat="1" applyFont="1" applyFill="1" applyBorder="1" applyAlignment="1">
      <alignment horizontal="right" vertical="center"/>
    </xf>
    <xf numFmtId="186" fontId="18" fillId="0" borderId="0" xfId="0" applyNumberFormat="1" applyFont="1" applyFill="1" applyBorder="1" applyAlignment="1">
      <alignment/>
    </xf>
    <xf numFmtId="186" fontId="16" fillId="0" borderId="0" xfId="0" applyNumberFormat="1" applyFont="1" applyAlignment="1">
      <alignment/>
    </xf>
    <xf numFmtId="10" fontId="16" fillId="0" borderId="0" xfId="0" applyNumberFormat="1" applyFont="1" applyAlignment="1">
      <alignment/>
    </xf>
    <xf numFmtId="49" fontId="8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57" fillId="0" borderId="3" xfId="0" applyFont="1" applyFill="1" applyBorder="1" applyAlignment="1">
      <alignment horizontal="right" vertical="center"/>
    </xf>
    <xf numFmtId="178" fontId="79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/>
    </xf>
    <xf numFmtId="0" fontId="87" fillId="0" borderId="3" xfId="0" applyFont="1" applyFill="1" applyBorder="1" applyAlignment="1">
      <alignment horizontal="right" vertical="center"/>
    </xf>
    <xf numFmtId="0" fontId="57" fillId="0" borderId="2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vertical="center"/>
    </xf>
    <xf numFmtId="0" fontId="58" fillId="0" borderId="8" xfId="0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187" fontId="6" fillId="0" borderId="1" xfId="0" applyNumberFormat="1" applyFont="1" applyBorder="1" applyAlignment="1">
      <alignment vertical="center"/>
    </xf>
    <xf numFmtId="187" fontId="6" fillId="0" borderId="43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43" xfId="0" applyBorder="1" applyAlignment="1">
      <alignment/>
    </xf>
    <xf numFmtId="0" fontId="7" fillId="0" borderId="42" xfId="0" applyFont="1" applyBorder="1" applyAlignment="1">
      <alignment horizontal="distributed" vertical="center"/>
    </xf>
    <xf numFmtId="0" fontId="0" fillId="0" borderId="44" xfId="0" applyBorder="1" applyAlignment="1">
      <alignment horizontal="center"/>
    </xf>
    <xf numFmtId="187" fontId="6" fillId="0" borderId="5" xfId="0" applyNumberFormat="1" applyFont="1" applyBorder="1" applyAlignment="1">
      <alignment vertical="center"/>
    </xf>
    <xf numFmtId="187" fontId="6" fillId="0" borderId="45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187" fontId="6" fillId="0" borderId="47" xfId="0" applyNumberFormat="1" applyFont="1" applyBorder="1" applyAlignment="1">
      <alignment vertical="center"/>
    </xf>
    <xf numFmtId="187" fontId="6" fillId="0" borderId="48" xfId="0" applyNumberFormat="1" applyFont="1" applyBorder="1" applyAlignment="1">
      <alignment/>
    </xf>
    <xf numFmtId="187" fontId="6" fillId="0" borderId="47" xfId="0" applyNumberFormat="1" applyFont="1" applyFill="1" applyBorder="1" applyAlignment="1">
      <alignment vertical="center"/>
    </xf>
    <xf numFmtId="187" fontId="6" fillId="0" borderId="1" xfId="0" applyNumberFormat="1" applyFont="1" applyFill="1" applyBorder="1" applyAlignment="1">
      <alignment vertical="center"/>
    </xf>
    <xf numFmtId="187" fontId="6" fillId="0" borderId="5" xfId="0" applyNumberFormat="1" applyFont="1" applyFill="1" applyBorder="1" applyAlignment="1">
      <alignment vertical="center"/>
    </xf>
    <xf numFmtId="187" fontId="6" fillId="0" borderId="47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6" fillId="0" borderId="8" xfId="0" applyFont="1" applyBorder="1" applyAlignment="1">
      <alignment/>
    </xf>
    <xf numFmtId="4" fontId="79" fillId="0" borderId="0" xfId="0" applyNumberFormat="1" applyFont="1" applyAlignment="1">
      <alignment vertical="center"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 vertical="center"/>
    </xf>
    <xf numFmtId="0" fontId="58" fillId="0" borderId="0" xfId="0" applyFont="1" applyBorder="1" applyAlignment="1">
      <alignment/>
    </xf>
    <xf numFmtId="0" fontId="61" fillId="0" borderId="0" xfId="0" applyFont="1" applyBorder="1" applyAlignment="1">
      <alignment/>
    </xf>
    <xf numFmtId="3" fontId="79" fillId="0" borderId="6" xfId="0" applyNumberFormat="1" applyFont="1" applyFill="1" applyBorder="1" applyAlignment="1">
      <alignment vertical="center"/>
    </xf>
    <xf numFmtId="3" fontId="79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 horizontal="right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vertical="center"/>
    </xf>
    <xf numFmtId="0" fontId="2" fillId="0" borderId="46" xfId="0" applyFont="1" applyBorder="1" applyAlignment="1">
      <alignment horizontal="distributed" vertical="center"/>
    </xf>
    <xf numFmtId="182" fontId="0" fillId="0" borderId="48" xfId="0" applyNumberFormat="1" applyBorder="1" applyAlignment="1">
      <alignment/>
    </xf>
    <xf numFmtId="0" fontId="2" fillId="0" borderId="42" xfId="0" applyFont="1" applyBorder="1" applyAlignment="1">
      <alignment horizontal="distributed" vertical="center"/>
    </xf>
    <xf numFmtId="182" fontId="0" fillId="0" borderId="43" xfId="0" applyNumberFormat="1" applyBorder="1" applyAlignment="1">
      <alignment/>
    </xf>
    <xf numFmtId="0" fontId="7" fillId="0" borderId="42" xfId="0" applyFont="1" applyBorder="1" applyAlignment="1">
      <alignment horizontal="distributed" vertical="center"/>
    </xf>
    <xf numFmtId="180" fontId="0" fillId="0" borderId="49" xfId="20" applyNumberFormat="1" applyFont="1" applyFill="1" applyBorder="1" applyAlignment="1">
      <alignment/>
    </xf>
    <xf numFmtId="180" fontId="0" fillId="0" borderId="7" xfId="20" applyNumberFormat="1" applyBorder="1" applyAlignment="1">
      <alignment/>
    </xf>
    <xf numFmtId="182" fontId="0" fillId="0" borderId="45" xfId="0" applyNumberFormat="1" applyBorder="1" applyAlignment="1">
      <alignment/>
    </xf>
    <xf numFmtId="41" fontId="79" fillId="0" borderId="0" xfId="0" applyNumberFormat="1" applyFont="1" applyFill="1" applyBorder="1" applyAlignment="1">
      <alignment vertical="center"/>
    </xf>
    <xf numFmtId="41" fontId="79" fillId="0" borderId="0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184" fontId="0" fillId="0" borderId="1" xfId="0" applyNumberFormat="1" applyFill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0" fillId="0" borderId="43" xfId="0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0" fontId="79" fillId="0" borderId="6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/>
    </xf>
    <xf numFmtId="0" fontId="87" fillId="0" borderId="3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86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0" fontId="102" fillId="0" borderId="0" xfId="0" applyFont="1" applyAlignment="1">
      <alignment/>
    </xf>
    <xf numFmtId="0" fontId="1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3" fontId="87" fillId="0" borderId="0" xfId="2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50" xfId="0" applyBorder="1" applyAlignment="1">
      <alignment/>
    </xf>
    <xf numFmtId="194" fontId="5" fillId="0" borderId="0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0" fontId="6" fillId="0" borderId="5" xfId="0" applyFont="1" applyBorder="1" applyAlignment="1">
      <alignment/>
    </xf>
    <xf numFmtId="187" fontId="6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3" fontId="31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1" fontId="1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52" xfId="0" applyFont="1" applyBorder="1" applyAlignment="1">
      <alignment/>
    </xf>
    <xf numFmtId="187" fontId="6" fillId="0" borderId="26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24" xfId="0" applyBorder="1" applyAlignment="1">
      <alignment/>
    </xf>
    <xf numFmtId="0" fontId="2" fillId="0" borderId="53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/>
    </xf>
    <xf numFmtId="49" fontId="12" fillId="0" borderId="18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95" fontId="5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/>
    </xf>
    <xf numFmtId="0" fontId="6" fillId="0" borderId="3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8" xfId="0" applyFont="1" applyBorder="1" applyAlignment="1">
      <alignment/>
    </xf>
    <xf numFmtId="194" fontId="79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43" fontId="58" fillId="0" borderId="0" xfId="2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41" fontId="5" fillId="0" borderId="13" xfId="0" applyNumberFormat="1" applyFont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top"/>
    </xf>
    <xf numFmtId="179" fontId="5" fillId="0" borderId="0" xfId="0" applyNumberFormat="1" applyFont="1" applyFill="1" applyBorder="1" applyAlignment="1">
      <alignment vertical="top"/>
    </xf>
    <xf numFmtId="4" fontId="5" fillId="0" borderId="13" xfId="0" applyNumberFormat="1" applyFont="1" applyFill="1" applyBorder="1" applyAlignment="1">
      <alignment vertical="top"/>
    </xf>
    <xf numFmtId="179" fontId="5" fillId="0" borderId="13" xfId="20" applyNumberFormat="1" applyFont="1" applyFill="1" applyBorder="1" applyAlignment="1">
      <alignment vertical="top"/>
    </xf>
    <xf numFmtId="0" fontId="6" fillId="0" borderId="49" xfId="0" applyFont="1" applyBorder="1" applyAlignment="1">
      <alignment/>
    </xf>
    <xf numFmtId="0" fontId="6" fillId="0" borderId="54" xfId="0" applyFont="1" applyBorder="1" applyAlignment="1">
      <alignment/>
    </xf>
    <xf numFmtId="0" fontId="7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28" xfId="0" applyFont="1" applyBorder="1" applyAlignment="1">
      <alignment horizontal="center"/>
    </xf>
    <xf numFmtId="184" fontId="6" fillId="0" borderId="43" xfId="0" applyNumberFormat="1" applyFont="1" applyBorder="1" applyAlignment="1">
      <alignment horizontal="right"/>
    </xf>
    <xf numFmtId="184" fontId="6" fillId="0" borderId="5" xfId="0" applyNumberFormat="1" applyFont="1" applyBorder="1" applyAlignment="1">
      <alignment/>
    </xf>
    <xf numFmtId="184" fontId="6" fillId="0" borderId="13" xfId="0" applyNumberFormat="1" applyFont="1" applyBorder="1" applyAlignment="1">
      <alignment/>
    </xf>
    <xf numFmtId="0" fontId="0" fillId="0" borderId="55" xfId="0" applyBorder="1" applyAlignment="1">
      <alignment/>
    </xf>
    <xf numFmtId="0" fontId="51" fillId="0" borderId="0" xfId="0" applyFont="1" applyBorder="1" applyAlignment="1">
      <alignment/>
    </xf>
    <xf numFmtId="0" fontId="7" fillId="0" borderId="8" xfId="0" applyFont="1" applyFill="1" applyBorder="1" applyAlignment="1">
      <alignment vertical="center"/>
    </xf>
    <xf numFmtId="0" fontId="0" fillId="0" borderId="47" xfId="0" applyFont="1" applyBorder="1" applyAlignment="1">
      <alignment horizontal="right" vertical="center"/>
    </xf>
    <xf numFmtId="2" fontId="0" fillId="0" borderId="48" xfId="0" applyNumberFormat="1" applyFont="1" applyBorder="1" applyAlignment="1">
      <alignment/>
    </xf>
    <xf numFmtId="0" fontId="0" fillId="0" borderId="1" xfId="0" applyFont="1" applyBorder="1" applyAlignment="1">
      <alignment horizontal="right" vertical="center"/>
    </xf>
    <xf numFmtId="2" fontId="0" fillId="0" borderId="43" xfId="0" applyNumberFormat="1" applyFont="1" applyBorder="1" applyAlignment="1">
      <alignment/>
    </xf>
    <xf numFmtId="0" fontId="0" fillId="0" borderId="16" xfId="0" applyFont="1" applyFill="1" applyBorder="1" applyAlignment="1">
      <alignment horizontal="right" vertical="center"/>
    </xf>
    <xf numFmtId="0" fontId="0" fillId="0" borderId="5" xfId="0" applyFont="1" applyBorder="1" applyAlignment="1">
      <alignment/>
    </xf>
    <xf numFmtId="2" fontId="0" fillId="0" borderId="45" xfId="0" applyNumberFormat="1" applyFont="1" applyBorder="1" applyAlignment="1">
      <alignment/>
    </xf>
    <xf numFmtId="180" fontId="0" fillId="0" borderId="19" xfId="20" applyNumberFormat="1" applyFont="1" applyBorder="1" applyAlignment="1">
      <alignment/>
    </xf>
    <xf numFmtId="180" fontId="0" fillId="0" borderId="49" xfId="20" applyNumberFormat="1" applyFont="1" applyBorder="1" applyAlignment="1">
      <alignment/>
    </xf>
    <xf numFmtId="0" fontId="6" fillId="0" borderId="1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9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/>
    </xf>
    <xf numFmtId="0" fontId="9" fillId="0" borderId="0" xfId="0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3" fontId="18" fillId="0" borderId="0" xfId="20" applyNumberFormat="1" applyFont="1" applyBorder="1" applyAlignment="1">
      <alignment vertical="center"/>
    </xf>
    <xf numFmtId="41" fontId="5" fillId="0" borderId="33" xfId="20" applyNumberFormat="1" applyFont="1" applyBorder="1" applyAlignment="1">
      <alignment vertical="center"/>
    </xf>
    <xf numFmtId="4" fontId="16" fillId="0" borderId="0" xfId="0" applyNumberFormat="1" applyFont="1" applyBorder="1" applyAlignment="1">
      <alignment horizontal="right" vertical="center"/>
    </xf>
    <xf numFmtId="4" fontId="49" fillId="0" borderId="0" xfId="0" applyNumberFormat="1" applyFont="1" applyBorder="1" applyAlignment="1">
      <alignment horizontal="right" vertical="center"/>
    </xf>
    <xf numFmtId="4" fontId="5" fillId="0" borderId="35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56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3" fontId="5" fillId="0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/>
    </xf>
    <xf numFmtId="0" fontId="11" fillId="0" borderId="4" xfId="0" applyFont="1" applyFill="1" applyBorder="1" applyAlignment="1">
      <alignment/>
    </xf>
    <xf numFmtId="0" fontId="7" fillId="0" borderId="17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" fillId="0" borderId="21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3" fontId="5" fillId="0" borderId="8" xfId="0" applyNumberFormat="1" applyFont="1" applyFill="1" applyBorder="1" applyAlignment="1">
      <alignment horizontal="right" vertical="center"/>
    </xf>
    <xf numFmtId="41" fontId="5" fillId="0" borderId="8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178" fontId="5" fillId="0" borderId="6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16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6" xfId="0" applyFont="1" applyBorder="1" applyAlignment="1">
      <alignment horizontal="distributed"/>
    </xf>
    <xf numFmtId="0" fontId="7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justify" vertical="top" wrapText="1"/>
    </xf>
    <xf numFmtId="0" fontId="7" fillId="0" borderId="14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4" fontId="79" fillId="0" borderId="6" xfId="0" applyNumberFormat="1" applyFont="1" applyBorder="1" applyAlignment="1">
      <alignment vertical="center"/>
    </xf>
    <xf numFmtId="4" fontId="58" fillId="0" borderId="0" xfId="0" applyNumberFormat="1" applyFont="1" applyBorder="1" applyAlignment="1">
      <alignment vertical="center"/>
    </xf>
    <xf numFmtId="4" fontId="58" fillId="0" borderId="6" xfId="0" applyNumberFormat="1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4" fontId="79" fillId="0" borderId="6" xfId="0" applyNumberFormat="1" applyFont="1" applyFill="1" applyBorder="1" applyAlignment="1">
      <alignment horizontal="right" vertical="center"/>
    </xf>
    <xf numFmtId="3" fontId="79" fillId="0" borderId="6" xfId="0" applyNumberFormat="1" applyFont="1" applyFill="1" applyBorder="1" applyAlignment="1">
      <alignment horizontal="right" vertical="center"/>
    </xf>
    <xf numFmtId="4" fontId="79" fillId="0" borderId="0" xfId="0" applyNumberFormat="1" applyFont="1" applyFill="1" applyBorder="1" applyAlignment="1">
      <alignment vertical="center"/>
    </xf>
    <xf numFmtId="41" fontId="5" fillId="0" borderId="31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8" fontId="79" fillId="0" borderId="6" xfId="0" applyNumberFormat="1" applyFont="1" applyFill="1" applyBorder="1" applyAlignment="1">
      <alignment horizontal="right" vertical="center"/>
    </xf>
    <xf numFmtId="3" fontId="79" fillId="0" borderId="0" xfId="0" applyNumberFormat="1" applyFont="1" applyFill="1" applyBorder="1" applyAlignment="1">
      <alignment horizontal="right" vertical="center"/>
    </xf>
    <xf numFmtId="4" fontId="79" fillId="0" borderId="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1" fontId="79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41" fontId="5" fillId="0" borderId="35" xfId="20" applyNumberFormat="1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41" fontId="5" fillId="0" borderId="8" xfId="2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0" fontId="11" fillId="0" borderId="4" xfId="0" applyFont="1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/>
    </xf>
    <xf numFmtId="0" fontId="31" fillId="0" borderId="0" xfId="0" applyFont="1" applyAlignment="1">
      <alignment horizontal="justify" vertical="top" wrapText="1"/>
    </xf>
    <xf numFmtId="0" fontId="11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14" fillId="0" borderId="0" xfId="0" applyFont="1" applyAlignment="1">
      <alignment horizontal="justify" vertical="top" wrapText="1"/>
    </xf>
    <xf numFmtId="0" fontId="7" fillId="0" borderId="17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1" fontId="89" fillId="0" borderId="0" xfId="0" applyNumberFormat="1" applyFont="1" applyAlignment="1">
      <alignment/>
    </xf>
    <xf numFmtId="181" fontId="16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0" fontId="2" fillId="0" borderId="0" xfId="0" applyFon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2" fillId="0" borderId="0" xfId="0" applyFont="1" applyAlignment="1">
      <alignment horizontal="left" vertical="center"/>
    </xf>
    <xf numFmtId="0" fontId="8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1" fillId="0" borderId="18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2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27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11" fillId="0" borderId="56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19" fillId="0" borderId="8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179" fontId="5" fillId="0" borderId="33" xfId="0" applyNumberFormat="1" applyFont="1" applyBorder="1" applyAlignment="1">
      <alignment horizontal="right" vertical="center"/>
    </xf>
    <xf numFmtId="179" fontId="5" fillId="0" borderId="57" xfId="0" applyNumberFormat="1" applyFont="1" applyBorder="1" applyAlignment="1">
      <alignment horizontal="right" vertical="center"/>
    </xf>
    <xf numFmtId="0" fontId="31" fillId="0" borderId="0" xfId="0" applyFont="1" applyAlignment="1">
      <alignment vertical="top" wrapText="1" shrinkToFit="1"/>
    </xf>
    <xf numFmtId="179" fontId="5" fillId="0" borderId="8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186" fontId="6" fillId="0" borderId="0" xfId="0" applyNumberFormat="1" applyFont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82" fontId="11" fillId="0" borderId="8" xfId="0" applyNumberFormat="1" applyFont="1" applyBorder="1" applyAlignment="1">
      <alignment horizontal="right" vertical="center"/>
    </xf>
    <xf numFmtId="182" fontId="11" fillId="0" borderId="13" xfId="0" applyNumberFormat="1" applyFont="1" applyBorder="1" applyAlignment="1">
      <alignment horizontal="right" vertical="center"/>
    </xf>
    <xf numFmtId="182" fontId="11" fillId="0" borderId="33" xfId="0" applyNumberFormat="1" applyFont="1" applyBorder="1" applyAlignment="1">
      <alignment horizontal="right" vertical="center"/>
    </xf>
    <xf numFmtId="184" fontId="8" fillId="0" borderId="13" xfId="0" applyNumberFormat="1" applyFont="1" applyBorder="1" applyAlignment="1">
      <alignment horizontal="right" wrapText="1"/>
    </xf>
    <xf numFmtId="49" fontId="8" fillId="0" borderId="8" xfId="22" applyNumberFormat="1" applyFont="1" applyBorder="1" applyAlignment="1">
      <alignment horizontal="center" vertical="center" wrapText="1"/>
    </xf>
    <xf numFmtId="49" fontId="8" fillId="0" borderId="22" xfId="22" applyNumberFormat="1" applyFont="1" applyBorder="1" applyAlignment="1">
      <alignment horizontal="center" vertical="center" wrapText="1"/>
    </xf>
    <xf numFmtId="49" fontId="11" fillId="0" borderId="56" xfId="22" applyNumberFormat="1" applyFont="1" applyBorder="1" applyAlignment="1">
      <alignment horizontal="center" vertical="center" wrapText="1"/>
    </xf>
    <xf numFmtId="49" fontId="11" fillId="0" borderId="23" xfId="2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8" fillId="0" borderId="35" xfId="22" applyNumberFormat="1" applyFont="1" applyBorder="1" applyAlignment="1">
      <alignment horizontal="center" vertical="center" wrapText="1"/>
    </xf>
    <xf numFmtId="49" fontId="5" fillId="0" borderId="8" xfId="22" applyNumberFormat="1" applyFont="1" applyBorder="1" applyAlignment="1">
      <alignment horizontal="center" vertical="center" wrapText="1"/>
    </xf>
    <xf numFmtId="49" fontId="11" fillId="0" borderId="58" xfId="22" applyNumberFormat="1" applyFont="1" applyBorder="1" applyAlignment="1">
      <alignment horizontal="center" vertical="center" wrapText="1"/>
    </xf>
    <xf numFmtId="49" fontId="8" fillId="0" borderId="20" xfId="22" applyNumberFormat="1" applyFont="1" applyBorder="1" applyAlignment="1">
      <alignment horizontal="center" vertical="center" wrapText="1"/>
    </xf>
    <xf numFmtId="49" fontId="5" fillId="0" borderId="22" xfId="22" applyNumberFormat="1" applyFont="1" applyBorder="1" applyAlignment="1">
      <alignment horizontal="center" vertical="center" wrapText="1"/>
    </xf>
    <xf numFmtId="49" fontId="11" fillId="0" borderId="19" xfId="19" applyNumberFormat="1" applyFont="1" applyBorder="1" applyAlignment="1">
      <alignment horizontal="center" vertical="center" wrapText="1"/>
      <protection/>
    </xf>
    <xf numFmtId="49" fontId="11" fillId="0" borderId="23" xfId="19" applyNumberFormat="1" applyFont="1" applyBorder="1" applyAlignment="1">
      <alignment horizontal="center" vertical="center" wrapText="1"/>
      <protection/>
    </xf>
    <xf numFmtId="41" fontId="11" fillId="0" borderId="0" xfId="0" applyNumberFormat="1" applyFont="1" applyAlignment="1">
      <alignment vertical="center"/>
    </xf>
    <xf numFmtId="41" fontId="11" fillId="0" borderId="13" xfId="0" applyNumberFormat="1" applyFont="1" applyBorder="1" applyAlignment="1">
      <alignment vertical="center"/>
    </xf>
    <xf numFmtId="49" fontId="8" fillId="0" borderId="21" xfId="22" applyNumberFormat="1" applyFont="1" applyBorder="1" applyAlignment="1">
      <alignment horizontal="center" vertical="center" wrapText="1"/>
    </xf>
    <xf numFmtId="49" fontId="11" fillId="0" borderId="16" xfId="22" applyNumberFormat="1" applyFont="1" applyBorder="1" applyAlignment="1">
      <alignment horizontal="center" vertical="center" wrapText="1"/>
    </xf>
    <xf numFmtId="49" fontId="8" fillId="0" borderId="17" xfId="19" applyNumberFormat="1" applyFont="1" applyBorder="1" applyAlignment="1">
      <alignment horizontal="center" vertical="center" wrapText="1"/>
      <protection/>
    </xf>
    <xf numFmtId="49" fontId="11" fillId="0" borderId="4" xfId="19" applyNumberFormat="1" applyFont="1" applyBorder="1" applyAlignment="1">
      <alignment horizontal="center" vertical="center" wrapText="1"/>
      <protection/>
    </xf>
    <xf numFmtId="41" fontId="11" fillId="0" borderId="0" xfId="0" applyNumberFormat="1" applyFont="1" applyBorder="1" applyAlignment="1">
      <alignment vertical="center"/>
    </xf>
    <xf numFmtId="49" fontId="11" fillId="0" borderId="16" xfId="22" applyNumberFormat="1" applyFont="1" applyBorder="1" applyAlignment="1" applyProtection="1">
      <alignment horizontal="center" vertical="center" wrapText="1"/>
      <protection locked="0"/>
    </xf>
    <xf numFmtId="49" fontId="11" fillId="0" borderId="18" xfId="22" applyNumberFormat="1" applyFont="1" applyBorder="1" applyAlignment="1" applyProtection="1">
      <alignment horizontal="center" vertical="center" wrapText="1"/>
      <protection locked="0"/>
    </xf>
    <xf numFmtId="49" fontId="8" fillId="0" borderId="26" xfId="19" applyNumberFormat="1" applyFont="1" applyBorder="1" applyAlignment="1">
      <alignment horizontal="center" vertical="center" wrapText="1"/>
      <protection/>
    </xf>
    <xf numFmtId="49" fontId="11" fillId="0" borderId="11" xfId="19" applyNumberFormat="1" applyFont="1" applyBorder="1" applyAlignment="1">
      <alignment horizontal="center" vertical="center" wrapText="1"/>
      <protection/>
    </xf>
    <xf numFmtId="49" fontId="11" fillId="0" borderId="19" xfId="22" applyNumberFormat="1" applyFont="1" applyBorder="1" applyAlignment="1">
      <alignment horizontal="center" vertical="center" wrapText="1"/>
    </xf>
    <xf numFmtId="41" fontId="11" fillId="0" borderId="33" xfId="0" applyNumberFormat="1" applyFont="1" applyBorder="1" applyAlignment="1">
      <alignment horizontal="right" vertical="center"/>
    </xf>
    <xf numFmtId="49" fontId="8" fillId="0" borderId="21" xfId="22" applyNumberFormat="1" applyFont="1" applyBorder="1" applyAlignment="1" applyProtection="1">
      <alignment horizontal="center" vertical="center" wrapText="1"/>
      <protection locked="0"/>
    </xf>
    <xf numFmtId="49" fontId="8" fillId="0" borderId="20" xfId="22" applyNumberFormat="1" applyFont="1" applyBorder="1" applyAlignment="1" applyProtection="1">
      <alignment horizontal="center"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179" fontId="11" fillId="0" borderId="33" xfId="0" applyNumberFormat="1" applyFont="1" applyBorder="1" applyAlignment="1">
      <alignment horizontal="right" vertical="center"/>
    </xf>
    <xf numFmtId="49" fontId="8" fillId="0" borderId="0" xfId="22" applyNumberFormat="1" applyFont="1" applyBorder="1" applyAlignment="1" applyProtection="1">
      <alignment horizontal="center" vertical="center" wrapText="1"/>
      <protection locked="0"/>
    </xf>
    <xf numFmtId="49" fontId="5" fillId="0" borderId="0" xfId="22" applyNumberFormat="1" applyFont="1" applyBorder="1" applyAlignment="1" applyProtection="1">
      <alignment horizontal="center" vertical="center" wrapText="1"/>
      <protection locked="0"/>
    </xf>
    <xf numFmtId="49" fontId="8" fillId="0" borderId="22" xfId="22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49" fontId="11" fillId="0" borderId="19" xfId="22" applyNumberFormat="1" applyFont="1" applyBorder="1" applyAlignment="1" applyProtection="1">
      <alignment horizontal="center" vertical="center" wrapText="1"/>
      <protection locked="0"/>
    </xf>
    <xf numFmtId="49" fontId="11" fillId="0" borderId="23" xfId="22" applyNumberFormat="1" applyFont="1" applyBorder="1" applyAlignment="1" applyProtection="1">
      <alignment horizontal="center" vertical="center" wrapText="1"/>
      <protection locked="0"/>
    </xf>
    <xf numFmtId="49" fontId="11" fillId="0" borderId="56" xfId="19" applyNumberFormat="1" applyFont="1" applyBorder="1" applyAlignment="1">
      <alignment horizontal="center" vertical="center" wrapText="1"/>
      <protection/>
    </xf>
    <xf numFmtId="49" fontId="5" fillId="0" borderId="59" xfId="22" applyNumberFormat="1" applyFont="1" applyBorder="1" applyAlignment="1">
      <alignment horizontal="center" vertical="center" wrapText="1"/>
    </xf>
    <xf numFmtId="49" fontId="11" fillId="0" borderId="0" xfId="19" applyNumberFormat="1" applyFont="1" applyBorder="1" applyAlignment="1">
      <alignment horizontal="center" vertical="center" wrapText="1"/>
      <protection/>
    </xf>
    <xf numFmtId="49" fontId="11" fillId="0" borderId="60" xfId="19" applyNumberFormat="1" applyFont="1" applyBorder="1" applyAlignment="1">
      <alignment horizontal="center" vertical="center" wrapText="1"/>
      <protection/>
    </xf>
    <xf numFmtId="49" fontId="8" fillId="0" borderId="39" xfId="22" applyNumberFormat="1" applyFont="1" applyBorder="1" applyAlignment="1">
      <alignment horizontal="center" vertical="center" wrapText="1"/>
    </xf>
    <xf numFmtId="49" fontId="11" fillId="0" borderId="61" xfId="19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84" fontId="6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2" fontId="11" fillId="0" borderId="57" xfId="0" applyNumberFormat="1" applyFont="1" applyBorder="1" applyAlignment="1">
      <alignment horizontal="right" vertical="center"/>
    </xf>
    <xf numFmtId="49" fontId="11" fillId="0" borderId="27" xfId="19" applyNumberFormat="1" applyFont="1" applyBorder="1" applyAlignment="1">
      <alignment horizontal="center" vertical="center" wrapText="1"/>
      <protection/>
    </xf>
    <xf numFmtId="49" fontId="5" fillId="0" borderId="8" xfId="22" applyNumberFormat="1" applyFont="1" applyBorder="1" applyAlignment="1" applyProtection="1">
      <alignment horizontal="center" vertical="center" wrapText="1"/>
      <protection locked="0"/>
    </xf>
    <xf numFmtId="49" fontId="11" fillId="0" borderId="62" xfId="19" applyNumberFormat="1" applyFont="1" applyBorder="1" applyAlignment="1">
      <alignment horizontal="center" vertical="center" wrapText="1"/>
      <protection/>
    </xf>
    <xf numFmtId="49" fontId="11" fillId="0" borderId="18" xfId="19" applyNumberFormat="1" applyFont="1" applyBorder="1" applyAlignment="1">
      <alignment horizontal="center" vertical="center" wrapText="1"/>
      <protection/>
    </xf>
    <xf numFmtId="49" fontId="11" fillId="0" borderId="0" xfId="22" applyNumberFormat="1" applyFont="1" applyBorder="1" applyAlignment="1">
      <alignment horizontal="center" vertical="center" wrapText="1"/>
    </xf>
    <xf numFmtId="49" fontId="11" fillId="0" borderId="27" xfId="22" applyNumberFormat="1" applyFont="1" applyBorder="1" applyAlignment="1">
      <alignment horizontal="center" vertical="center" wrapText="1"/>
    </xf>
    <xf numFmtId="49" fontId="11" fillId="0" borderId="18" xfId="22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41" fontId="79" fillId="0" borderId="0" xfId="0" applyNumberFormat="1" applyFont="1" applyFill="1" applyBorder="1" applyAlignment="1">
      <alignment horizontal="center" vertical="center"/>
    </xf>
    <xf numFmtId="41" fontId="79" fillId="0" borderId="6" xfId="0" applyNumberFormat="1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/>
    </xf>
    <xf numFmtId="41" fontId="79" fillId="0" borderId="0" xfId="20" applyNumberFormat="1" applyFont="1" applyFill="1" applyBorder="1" applyAlignment="1">
      <alignment horizontal="right" vertical="center"/>
    </xf>
    <xf numFmtId="41" fontId="79" fillId="0" borderId="0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 horizontal="center" vertical="center"/>
    </xf>
    <xf numFmtId="41" fontId="79" fillId="0" borderId="0" xfId="0" applyNumberFormat="1" applyFont="1" applyFill="1" applyBorder="1" applyAlignment="1">
      <alignment vertical="center"/>
    </xf>
    <xf numFmtId="41" fontId="5" fillId="0" borderId="0" xfId="2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/>
    </xf>
    <xf numFmtId="41" fontId="5" fillId="0" borderId="6" xfId="0" applyNumberFormat="1" applyFont="1" applyBorder="1" applyAlignment="1">
      <alignment/>
    </xf>
    <xf numFmtId="179" fontId="5" fillId="0" borderId="8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41" fontId="5" fillId="0" borderId="8" xfId="2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6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9" fontId="5" fillId="0" borderId="13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79" fontId="5" fillId="0" borderId="35" xfId="0" applyNumberFormat="1" applyFont="1" applyFill="1" applyBorder="1" applyAlignment="1">
      <alignment horizontal="right" vertical="center"/>
    </xf>
    <xf numFmtId="179" fontId="5" fillId="0" borderId="31" xfId="0" applyNumberFormat="1" applyFont="1" applyFill="1" applyBorder="1" applyAlignment="1">
      <alignment horizontal="right"/>
    </xf>
    <xf numFmtId="0" fontId="7" fillId="0" borderId="35" xfId="0" applyFont="1" applyBorder="1" applyAlignment="1">
      <alignment horizontal="distributed" vertical="center"/>
    </xf>
    <xf numFmtId="0" fontId="11" fillId="0" borderId="58" xfId="0" applyFont="1" applyBorder="1" applyAlignment="1">
      <alignment horizontal="center" vertical="center"/>
    </xf>
    <xf numFmtId="179" fontId="5" fillId="0" borderId="31" xfId="0" applyNumberFormat="1" applyFont="1" applyFill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wrapText="1"/>
    </xf>
    <xf numFmtId="0" fontId="12" fillId="0" borderId="34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1" fontId="5" fillId="0" borderId="0" xfId="2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Fill="1" applyBorder="1" applyAlignment="1">
      <alignment/>
    </xf>
    <xf numFmtId="0" fontId="7" fillId="0" borderId="29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 wrapText="1"/>
    </xf>
    <xf numFmtId="41" fontId="83" fillId="0" borderId="0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20" applyNumberFormat="1" applyFont="1" applyFill="1" applyBorder="1" applyAlignment="1">
      <alignment horizontal="right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5" fillId="0" borderId="31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center" vertical="center"/>
    </xf>
    <xf numFmtId="194" fontId="79" fillId="0" borderId="0" xfId="0" applyNumberFormat="1" applyFont="1" applyFill="1" applyBorder="1" applyAlignment="1">
      <alignment horizontal="right" vertical="center"/>
    </xf>
    <xf numFmtId="194" fontId="79" fillId="0" borderId="6" xfId="0" applyNumberFormat="1" applyFont="1" applyFill="1" applyBorder="1" applyAlignment="1">
      <alignment horizontal="right" vertical="center"/>
    </xf>
    <xf numFmtId="0" fontId="79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0" fontId="12" fillId="0" borderId="3" xfId="0" applyFont="1" applyBorder="1" applyAlignment="1">
      <alignment/>
    </xf>
    <xf numFmtId="0" fontId="7" fillId="0" borderId="18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58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0" xfId="0" applyFont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183" fontId="11" fillId="0" borderId="15" xfId="2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/>
    </xf>
    <xf numFmtId="183" fontId="11" fillId="0" borderId="16" xfId="2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2" fillId="0" borderId="8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9" fillId="0" borderId="6" xfId="0" applyFont="1" applyFill="1" applyBorder="1" applyAlignment="1">
      <alignment horizontal="right" vertical="center"/>
    </xf>
    <xf numFmtId="194" fontId="5" fillId="0" borderId="6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31" xfId="0" applyNumberFormat="1" applyFont="1" applyFill="1" applyBorder="1" applyAlignment="1">
      <alignment horizontal="right" vertical="center"/>
    </xf>
    <xf numFmtId="194" fontId="5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1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35" xfId="0" applyFont="1" applyFill="1" applyBorder="1" applyAlignment="1">
      <alignment horizontal="distributed" vertical="center" wrapText="1"/>
    </xf>
    <xf numFmtId="0" fontId="14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11" fillId="0" borderId="5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5" fillId="0" borderId="31" xfId="0" applyFont="1" applyFill="1" applyBorder="1" applyAlignment="1">
      <alignment horizontal="right" vertical="center"/>
    </xf>
    <xf numFmtId="182" fontId="79" fillId="0" borderId="33" xfId="0" applyNumberFormat="1" applyFont="1" applyBorder="1" applyAlignment="1">
      <alignment horizontal="right" vertical="center"/>
    </xf>
    <xf numFmtId="182" fontId="5" fillId="0" borderId="33" xfId="0" applyNumberFormat="1" applyFont="1" applyBorder="1" applyAlignment="1">
      <alignment horizontal="right" vertical="center"/>
    </xf>
    <xf numFmtId="185" fontId="6" fillId="0" borderId="0" xfId="0" applyNumberFormat="1" applyFont="1" applyAlignment="1">
      <alignment horizontal="center" wrapText="1"/>
    </xf>
    <xf numFmtId="41" fontId="79" fillId="0" borderId="33" xfId="0" applyNumberFormat="1" applyFont="1" applyBorder="1" applyAlignment="1">
      <alignment horizontal="right" vertical="center"/>
    </xf>
    <xf numFmtId="182" fontId="5" fillId="0" borderId="57" xfId="0" applyNumberFormat="1" applyFont="1" applyBorder="1" applyAlignment="1">
      <alignment horizontal="right" vertical="center"/>
    </xf>
    <xf numFmtId="182" fontId="5" fillId="0" borderId="8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4" fontId="5" fillId="0" borderId="18" xfId="0" applyNumberFormat="1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2" fontId="79" fillId="0" borderId="57" xfId="0" applyNumberFormat="1" applyFont="1" applyBorder="1" applyAlignment="1">
      <alignment horizontal="right" vertical="center"/>
    </xf>
    <xf numFmtId="182" fontId="79" fillId="0" borderId="8" xfId="0" applyNumberFormat="1" applyFont="1" applyBorder="1" applyAlignment="1">
      <alignment horizontal="right" vertical="center"/>
    </xf>
    <xf numFmtId="182" fontId="79" fillId="0" borderId="1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center" wrapText="1"/>
    </xf>
    <xf numFmtId="184" fontId="10" fillId="0" borderId="0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 wrapText="1"/>
    </xf>
    <xf numFmtId="184" fontId="12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Alignment="1">
      <alignment vertical="center" wrapText="1"/>
    </xf>
    <xf numFmtId="0" fontId="7" fillId="0" borderId="5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41" fontId="5" fillId="0" borderId="8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8" fillId="0" borderId="6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right" vertical="center"/>
    </xf>
    <xf numFmtId="4" fontId="5" fillId="0" borderId="35" xfId="0" applyNumberFormat="1" applyFont="1" applyBorder="1" applyAlignment="1">
      <alignment horizontal="right" vertical="center"/>
    </xf>
    <xf numFmtId="4" fontId="5" fillId="0" borderId="3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8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82" fontId="5" fillId="0" borderId="35" xfId="0" applyNumberFormat="1" applyFont="1" applyBorder="1" applyAlignment="1">
      <alignment horizontal="right" vertical="center"/>
    </xf>
    <xf numFmtId="182" fontId="5" fillId="0" borderId="31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79" fontId="5" fillId="0" borderId="8" xfId="20" applyNumberFormat="1" applyFont="1" applyBorder="1" applyAlignment="1">
      <alignment horizontal="right" vertical="center"/>
    </xf>
    <xf numFmtId="179" fontId="5" fillId="0" borderId="13" xfId="20" applyNumberFormat="1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179" fontId="5" fillId="0" borderId="35" xfId="20" applyNumberFormat="1" applyFont="1" applyBorder="1" applyAlignment="1">
      <alignment horizontal="right" vertical="center"/>
    </xf>
    <xf numFmtId="179" fontId="5" fillId="0" borderId="31" xfId="20" applyNumberFormat="1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31" fillId="0" borderId="0" xfId="0" applyFont="1" applyAlignment="1" applyProtection="1">
      <alignment vertical="top" wrapText="1"/>
      <protection locked="0"/>
    </xf>
    <xf numFmtId="0" fontId="31" fillId="0" borderId="0" xfId="0" applyFont="1" applyAlignment="1">
      <alignment vertical="top" wrapText="1"/>
    </xf>
    <xf numFmtId="0" fontId="8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distributed"/>
    </xf>
    <xf numFmtId="0" fontId="2" fillId="0" borderId="2" xfId="0" applyFont="1" applyBorder="1" applyAlignment="1" applyProtection="1">
      <alignment horizontal="distributed" vertical="center"/>
      <protection hidden="1"/>
    </xf>
    <xf numFmtId="0" fontId="6" fillId="0" borderId="10" xfId="0" applyFont="1" applyBorder="1" applyAlignment="1" applyProtection="1">
      <alignment horizontal="distributed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distributed"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Alignment="1">
      <alignment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5-2" xfId="19"/>
    <cellStyle name="Comma" xfId="20"/>
    <cellStyle name="Comma [0]" xfId="21"/>
    <cellStyle name="千分位_5-2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externalLink" Target="externalLinks/externalLink24.xml" /><Relationship Id="rId50" Type="http://schemas.openxmlformats.org/officeDocument/2006/relationships/externalLink" Target="externalLinks/externalLink25.xml" /><Relationship Id="rId51" Type="http://schemas.openxmlformats.org/officeDocument/2006/relationships/externalLink" Target="externalLinks/externalLink26.xml" /><Relationship Id="rId52" Type="http://schemas.openxmlformats.org/officeDocument/2006/relationships/externalLink" Target="externalLinks/externalLink27.xml" /><Relationship Id="rId53" Type="http://schemas.openxmlformats.org/officeDocument/2006/relationships/externalLink" Target="externalLinks/externalLink28.xml" /><Relationship Id="rId54" Type="http://schemas.openxmlformats.org/officeDocument/2006/relationships/externalLink" Target="externalLinks/externalLink29.xml" /><Relationship Id="rId5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1. </a:t>
            </a:r>
            <a:r>
              <a:rPr lang="en-US" cap="none" sz="1600" b="0" i="0" u="none" baseline="0"/>
              <a:t>本縣人口動態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9"/>
          <c:w val="0.90175"/>
          <c:h val="0.824"/>
        </c:manualLayout>
      </c:layout>
      <c:lineChart>
        <c:grouping val="standard"/>
        <c:varyColors val="0"/>
        <c:ser>
          <c:idx val="0"/>
          <c:order val="0"/>
          <c:tx>
            <c:v>人口總增加數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'表2人口動態'!$T$3:$T$7</c:f>
              <c:strCache/>
            </c:strRef>
          </c:cat>
          <c:val>
            <c:numRef>
              <c:f>'表2人口動態'!$U$3:$U$7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自然增加數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'表2人口動態'!$T$3:$T$7</c:f>
              <c:strCache/>
            </c:strRef>
          </c:cat>
          <c:val>
            <c:numRef>
              <c:f>'表2人口動態'!$V$3:$V$7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社會增加數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'表2人口動態'!$T$3:$T$7</c:f>
              <c:strCache/>
            </c:strRef>
          </c:cat>
          <c:val>
            <c:numRef>
              <c:f>'表2人口動態'!$W$3:$W$7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811176"/>
        <c:axId val="26082857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  <c:max val="1500"/>
          <c:min val="-15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811176"/>
        <c:crossesAt val="1"/>
        <c:crossBetween val="midCat"/>
        <c:dispUnits/>
        <c:majorUnit val="100"/>
        <c:minorUnit val="5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2325"/>
          <c:y val="0.947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10. </a:t>
            </a:r>
            <a:r>
              <a:rPr lang="en-US" cap="none" sz="1600" b="0" i="0" u="none" baseline="0"/>
              <a:t>中低收入戶老人生活津貼及
低收入戶生活補助</a:t>
            </a:r>
          </a:p>
        </c:rich>
      </c:tx>
      <c:layout>
        <c:manualLayout>
          <c:xMode val="factor"/>
          <c:yMode val="factor"/>
          <c:x val="0.034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575"/>
          <c:w val="0.879"/>
          <c:h val="0.767"/>
        </c:manualLayout>
      </c:layout>
      <c:lineChart>
        <c:grouping val="standard"/>
        <c:varyColors val="0"/>
        <c:ser>
          <c:idx val="0"/>
          <c:order val="0"/>
          <c:tx>
            <c:v>低收入戶補助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'表9社會福利'!$M$6:$M$10</c:f>
              <c:strCache/>
            </c:strRef>
          </c:cat>
          <c:val>
            <c:numRef>
              <c:f>'表9社會福利'!$N$6:$N$10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中低收入戶老人生活津貼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'表9社會福利'!$M$6:$M$10</c:f>
              <c:strCache/>
            </c:strRef>
          </c:cat>
          <c:val>
            <c:numRef>
              <c:f>'表9社會福利'!$O$6:$O$10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103438"/>
        <c:axId val="19713215"/>
      </c:line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19713215"/>
        <c:crosses val="autoZero"/>
        <c:auto val="1"/>
        <c:lblOffset val="100"/>
        <c:noMultiLvlLbl val="0"/>
      </c:catAx>
      <c:valAx>
        <c:axId val="19713215"/>
        <c:scaling>
          <c:orientation val="minMax"/>
          <c:max val="60000"/>
          <c:min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103438"/>
        <c:crossesAt val="1"/>
        <c:crossBetween val="midCat"/>
        <c:dispUnits/>
        <c:majorUnit val="10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93125"/>
          <c:w val="0.6785"/>
          <c:h val="0.068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圖11</a:t>
            </a:r>
            <a:r>
              <a:rPr lang="en-US" cap="none" sz="1575" b="0" i="0" u="none" baseline="0"/>
              <a:t>. </a:t>
            </a:r>
            <a:r>
              <a:rPr lang="en-US" cap="none" sz="1575" b="0" i="0" u="none" baseline="0"/>
              <a:t>社會救助醫療補助及縣民急難救助</a:t>
            </a:r>
          </a:p>
        </c:rich>
      </c:tx>
      <c:layout>
        <c:manualLayout>
          <c:xMode val="factor"/>
          <c:yMode val="factor"/>
          <c:x val="0.038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25"/>
          <c:w val="0.857"/>
          <c:h val="0.77275"/>
        </c:manualLayout>
      </c:layout>
      <c:lineChart>
        <c:grouping val="standard"/>
        <c:varyColors val="0"/>
        <c:ser>
          <c:idx val="0"/>
          <c:order val="0"/>
          <c:tx>
            <c:v>社會救助醫療補助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'表9社會福利'!$M$25:$M$29</c:f>
              <c:strCache/>
            </c:strRef>
          </c:cat>
          <c:val>
            <c:numRef>
              <c:f>'表9社會福利'!$N$25:$N$29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縣民急難救助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b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'表9社會福利'!$M$25:$M$29</c:f>
              <c:strCache/>
            </c:strRef>
          </c:cat>
          <c:val>
            <c:numRef>
              <c:f>'表9社會福利'!$O$25:$O$29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201208"/>
        <c:axId val="53266553"/>
      </c:line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/>
            </a:pPr>
          </a:p>
        </c:txPr>
        <c:crossAx val="53266553"/>
        <c:crosses val="autoZero"/>
        <c:auto val="1"/>
        <c:lblOffset val="100"/>
        <c:noMultiLvlLbl val="0"/>
      </c:catAx>
      <c:valAx>
        <c:axId val="532665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3201208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"/>
          <c:y val="0.929"/>
          <c:w val="0.59925"/>
          <c:h val="0.06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圖</a:t>
            </a:r>
            <a:r>
              <a:rPr lang="en-US" cap="none" sz="1550" b="0" i="0" u="none" baseline="0"/>
              <a:t>12. </a:t>
            </a:r>
            <a:r>
              <a:rPr lang="en-US" cap="none" sz="1550" b="0" i="0" u="none" baseline="0"/>
              <a:t>宜蘭縣近年來犯罪率</a:t>
            </a:r>
          </a:p>
        </c:rich>
      </c:tx>
      <c:layout>
        <c:manualLayout>
          <c:xMode val="factor"/>
          <c:yMode val="factor"/>
          <c:x val="0.026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925"/>
          <c:w val="0.90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'表11保安防衛'!$M$68:$M$77</c:f>
              <c:strCache/>
            </c:strRef>
          </c:cat>
          <c:val>
            <c:numRef>
              <c:f>'表11保安防衛'!$N$68:$N$77</c:f>
              <c:numCache/>
            </c:numRef>
          </c:val>
        </c:ser>
        <c:axId val="9636930"/>
        <c:axId val="19623507"/>
      </c:barChart>
      <c:catAx>
        <c:axId val="963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50" b="0" i="0" u="none" baseline="0"/>
            </a:pPr>
          </a:p>
        </c:txPr>
        <c:crossAx val="19623507"/>
        <c:crosses val="autoZero"/>
        <c:auto val="1"/>
        <c:lblOffset val="100"/>
        <c:noMultiLvlLbl val="0"/>
      </c:catAx>
      <c:valAx>
        <c:axId val="196235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件/十萬人口</a:t>
                </a:r>
              </a:p>
            </c:rich>
          </c:tx>
          <c:layout>
            <c:manualLayout>
              <c:xMode val="factor"/>
              <c:yMode val="factor"/>
              <c:x val="-0.001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9636930"/>
        <c:crossesAt val="1"/>
        <c:crossBetween val="between"/>
        <c:dispUnits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13. </a:t>
            </a:r>
            <a:r>
              <a:rPr lang="en-US" cap="none" sz="1600" b="0" i="0" u="none" baseline="0"/>
              <a:t>宜蘭縣保安警衛概況
</a:t>
            </a:r>
            <a:r>
              <a:rPr lang="en-US" cap="none" sz="1600" b="0" i="0" u="none" baseline="0"/>
              <a:t>99</a:t>
            </a:r>
            <a:r>
              <a:rPr lang="en-US" cap="none" sz="1600" b="0" i="0" u="none" baseline="0"/>
              <a:t>年第</a:t>
            </a:r>
            <a:r>
              <a:rPr lang="en-US" cap="none" sz="1600" b="0" i="0" u="none" baseline="0"/>
              <a:t>4</a:t>
            </a:r>
            <a:r>
              <a:rPr lang="en-US" cap="none" sz="1600" b="0" i="0" u="none" baseline="0"/>
              <a:t>季</a:t>
            </a:r>
          </a:p>
        </c:rich>
      </c:tx>
      <c:layout>
        <c:manualLayout>
          <c:xMode val="factor"/>
          <c:yMode val="factor"/>
          <c:x val="0.00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9725"/>
          <c:w val="0.834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'表11保安防衛'!$P$68</c:f>
              <c:strCache>
                <c:ptCount val="1"/>
                <c:pt idx="0">
                  <c:v>全般刑案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'表11保安防衛'!$P$69</c:f>
              <c:numCache/>
            </c:numRef>
          </c:val>
        </c:ser>
        <c:ser>
          <c:idx val="1"/>
          <c:order val="1"/>
          <c:tx>
            <c:strRef>
              <c:f>'表11保安防衛'!$Q$68</c:f>
              <c:strCache>
                <c:ptCount val="1"/>
                <c:pt idx="0">
                  <c:v>違反社維法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'表11保安防衛'!$Q$69</c:f>
              <c:numCache/>
            </c:numRef>
          </c:val>
        </c:ser>
        <c:ser>
          <c:idx val="2"/>
          <c:order val="2"/>
          <c:tx>
            <c:strRef>
              <c:f>'表11保安防衛'!$R$68</c:f>
              <c:strCache>
                <c:ptCount val="1"/>
                <c:pt idx="0">
                  <c:v>經濟案件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'表11保安防衛'!$R$69</c:f>
              <c:numCache/>
            </c:numRef>
          </c:val>
        </c:ser>
        <c:axId val="42393836"/>
        <c:axId val="46000205"/>
      </c:barChart>
      <c:catAx>
        <c:axId val="423938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00205"/>
        <c:crosses val="autoZero"/>
        <c:auto val="1"/>
        <c:lblOffset val="0"/>
        <c:noMultiLvlLbl val="0"/>
      </c:catAx>
      <c:valAx>
        <c:axId val="46000205"/>
        <c:scaling>
          <c:orientation val="minMax"/>
          <c:max val="17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2393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"/>
          <c:y val="0.903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圖15.宜蘭縣汽機車數趨勢</a:t>
            </a:r>
          </a:p>
        </c:rich>
      </c:tx>
      <c:layout>
        <c:manualLayout>
          <c:xMode val="factor"/>
          <c:yMode val="factor"/>
          <c:x val="0.001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4875"/>
          <c:w val="0.96975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'表12機動車輛'!$AI$61</c:f>
              <c:strCache>
                <c:ptCount val="1"/>
                <c:pt idx="0">
                  <c:v>汽車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'表12機動車輛'!$AH$62:$AH$66</c:f>
              <c:strCache/>
            </c:strRef>
          </c:cat>
          <c:val>
            <c:numRef>
              <c:f>'表12機動車輛'!$AI$62:$AI$66</c:f>
              <c:numCache/>
            </c:numRef>
          </c:val>
          <c:smooth val="0"/>
        </c:ser>
        <c:marker val="1"/>
        <c:axId val="11348662"/>
        <c:axId val="35029095"/>
      </c:lineChart>
      <c:lineChart>
        <c:grouping val="standard"/>
        <c:varyColors val="0"/>
        <c:ser>
          <c:idx val="0"/>
          <c:order val="1"/>
          <c:tx>
            <c:strRef>
              <c:f>'表12機動車輛'!$AJ$61</c:f>
              <c:strCache>
                <c:ptCount val="1"/>
                <c:pt idx="0">
                  <c:v>機車(右標)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'表12機動車輛'!$AH$62:$AH$66</c:f>
              <c:strCache/>
            </c:strRef>
          </c:cat>
          <c:val>
            <c:numRef>
              <c:f>'表12機動車輛'!$AJ$62:$AJ$66</c:f>
              <c:numCache/>
            </c:numRef>
          </c:val>
          <c:smooth val="0"/>
        </c:ser>
        <c:marker val="1"/>
        <c:axId val="46826400"/>
        <c:axId val="18784417"/>
      </c:line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35029095"/>
        <c:crosses val="autoZero"/>
        <c:auto val="0"/>
        <c:lblOffset val="100"/>
        <c:noMultiLvlLbl val="0"/>
      </c:catAx>
      <c:valAx>
        <c:axId val="35029095"/>
        <c:scaling>
          <c:orientation val="minMax"/>
          <c:max val="140000"/>
          <c:min val="13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單位：輛</a:t>
                </a:r>
              </a:p>
            </c:rich>
          </c:tx>
          <c:layout>
            <c:manualLayout>
              <c:xMode val="factor"/>
              <c:yMode val="factor"/>
              <c:x val="0.0327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348662"/>
        <c:crossesAt val="1"/>
        <c:crossBetween val="between"/>
        <c:dispUnits/>
        <c:majorUnit val="1000"/>
      </c:valAx>
      <c:catAx>
        <c:axId val="46826400"/>
        <c:scaling>
          <c:orientation val="minMax"/>
        </c:scaling>
        <c:axPos val="b"/>
        <c:delete val="1"/>
        <c:majorTickMark val="in"/>
        <c:minorTickMark val="none"/>
        <c:tickLblPos val="nextTo"/>
        <c:crossAx val="18784417"/>
        <c:crosses val="autoZero"/>
        <c:auto val="0"/>
        <c:lblOffset val="100"/>
        <c:noMultiLvlLbl val="0"/>
      </c:catAx>
      <c:valAx>
        <c:axId val="18784417"/>
        <c:scaling>
          <c:orientation val="minMax"/>
          <c:max val="296000"/>
          <c:min val="28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單位：輛</a:t>
                </a:r>
              </a:p>
            </c:rich>
          </c:tx>
          <c:layout>
            <c:manualLayout>
              <c:xMode val="factor"/>
              <c:yMode val="factor"/>
              <c:x val="0.031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826400"/>
        <c:crosses val="max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86325"/>
          <c:w val="0.206"/>
          <c:h val="0.122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14. </a:t>
            </a:r>
            <a:r>
              <a:rPr lang="en-US" cap="none" sz="1600" b="0" i="0" u="none" baseline="0"/>
              <a:t>宜蘭縣各型汽車比例圖
     </a:t>
            </a:r>
            <a:r>
              <a:rPr lang="en-US" cap="none" sz="1600" b="0" i="0" u="none" baseline="0"/>
              <a:t>99</a:t>
            </a:r>
            <a:r>
              <a:rPr lang="en-US" cap="none" sz="1600" b="0" i="0" u="none" baseline="0"/>
              <a:t>年第</a:t>
            </a:r>
            <a:r>
              <a:rPr lang="en-US" cap="none" sz="1600" b="0" i="0" u="none" baseline="0"/>
              <a:t>4</a:t>
            </a:r>
            <a:r>
              <a:rPr lang="en-US" cap="none" sz="1600" b="0" i="0" u="none" baseline="0"/>
              <a:t>季底</a:t>
            </a:r>
          </a:p>
        </c:rich>
      </c:tx>
      <c:layout>
        <c:manualLayout>
          <c:xMode val="factor"/>
          <c:yMode val="factor"/>
          <c:x val="-0.03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32875"/>
          <c:w val="0.5795"/>
          <c:h val="0.4937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大客車
</a:t>
                    </a:r>
                    <a:r>
                      <a:rPr lang="en-US" cap="none" sz="1200" b="0" i="0" u="none" baseline="0"/>
                      <a:t>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大貨車
</a:t>
                    </a:r>
                    <a:r>
                      <a:rPr lang="en-US" cap="none" sz="1200" b="0" i="0" u="none" baseline="0"/>
                      <a:t>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小客車
</a:t>
                    </a:r>
                    <a:r>
                      <a:rPr lang="en-US" cap="none" sz="1200" b="0" i="0" u="none" baseline="0"/>
                      <a:t>83%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小貨車
</a:t>
                    </a:r>
                    <a:r>
                      <a:rPr lang="en-US" cap="none" sz="1200" b="0" i="0" u="none" baseline="0"/>
                      <a:t>13%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特種車
</a:t>
                    </a:r>
                    <a:r>
                      <a:rPr lang="en-US" cap="none" sz="1200" b="0" i="0" u="none" baseline="0"/>
                      <a:t>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'表12機動車輛'!$AE$61:$AE$65</c:f>
              <c:strCache/>
            </c:strRef>
          </c:cat>
          <c:val>
            <c:numRef>
              <c:f>'表12機動車輛'!$AG$61:$AG$65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"/>
          <c:y val="0.90025"/>
          <c:w val="0.59475"/>
          <c:h val="0.070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16. </a:t>
            </a:r>
            <a:r>
              <a:rPr lang="en-US" cap="none" sz="1600" b="0" i="0" u="none" baseline="0"/>
              <a:t>宜蘭縣交通事故趨勢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15"/>
          <c:w val="0.91775"/>
          <c:h val="0.72475"/>
        </c:manualLayout>
      </c:layout>
      <c:lineChart>
        <c:grouping val="standard"/>
        <c:varyColors val="0"/>
        <c:ser>
          <c:idx val="1"/>
          <c:order val="0"/>
          <c:tx>
            <c:strRef>
              <c:f>'表13交通事故'!$AB$60</c:f>
              <c:strCache>
                <c:ptCount val="1"/>
                <c:pt idx="0">
                  <c:v>發生件數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'表13交通事故'!$AA$61:$AA$65</c:f>
              <c:strCache/>
            </c:strRef>
          </c:cat>
          <c:val>
            <c:numRef>
              <c:f>'表13交通事故'!$AB$61:$AB$65</c:f>
              <c:numCache/>
            </c:numRef>
          </c:val>
          <c:smooth val="0"/>
        </c:ser>
        <c:ser>
          <c:idx val="0"/>
          <c:order val="1"/>
          <c:tx>
            <c:strRef>
              <c:f>'表13交通事故'!$AC$60</c:f>
              <c:strCache>
                <c:ptCount val="1"/>
                <c:pt idx="0">
                  <c:v>死傷人數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'表13交通事故'!$AA$61:$AA$65</c:f>
              <c:strCache/>
            </c:strRef>
          </c:cat>
          <c:val>
            <c:numRef>
              <c:f>'表13交通事故'!$AC$61:$AC$65</c:f>
              <c:numCache/>
            </c:numRef>
          </c:val>
          <c:smooth val="0"/>
        </c:ser>
        <c:marker val="1"/>
        <c:axId val="34842026"/>
        <c:axId val="45142779"/>
      </c:line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45142779"/>
        <c:crosses val="autoZero"/>
        <c:auto val="0"/>
        <c:lblOffset val="100"/>
        <c:noMultiLvlLbl val="0"/>
      </c:catAx>
      <c:valAx>
        <c:axId val="45142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件、人</a:t>
                </a:r>
              </a:p>
            </c:rich>
          </c:tx>
          <c:layout>
            <c:manualLayout>
              <c:xMode val="factor"/>
              <c:yMode val="factor"/>
              <c:x val="0.046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84202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"/>
          <c:y val="0.886"/>
          <c:w val="0.43575"/>
          <c:h val="0.0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</a:t>
            </a:r>
            <a:r>
              <a:rPr lang="en-US" cap="none" sz="1575" b="0" i="0" u="none" baseline="0"/>
              <a:t>17. </a:t>
            </a:r>
            <a:r>
              <a:rPr lang="en-US" cap="none" sz="1575" b="0" i="0" u="none" baseline="0"/>
              <a:t>宜蘭縣火災發生次數概況</a:t>
            </a:r>
          </a:p>
        </c:rich>
      </c:tx>
      <c:layout>
        <c:manualLayout>
          <c:xMode val="factor"/>
          <c:yMode val="factor"/>
          <c:x val="0.03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91"/>
          <c:w val="0.85425"/>
          <c:h val="0.78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'表14火災防護'!$U$59:$U$63</c:f>
              <c:strCache/>
            </c:strRef>
          </c:cat>
          <c:val>
            <c:numRef>
              <c:f>'表14火災防護'!$V$59:$V$63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631828"/>
        <c:axId val="32686453"/>
      </c:lineChart>
      <c:catAx>
        <c:axId val="3631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32686453"/>
        <c:crosses val="autoZero"/>
        <c:auto val="1"/>
        <c:lblOffset val="100"/>
        <c:noMultiLvlLbl val="0"/>
      </c:catAx>
      <c:valAx>
        <c:axId val="3268645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382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31828"/>
        <c:crossesAt val="1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18. </a:t>
            </a:r>
            <a:r>
              <a:rPr lang="en-US" cap="none" sz="1600" b="0" i="0" u="none" baseline="0"/>
              <a:t>經常門歲出占分配數執行率
</a:t>
            </a:r>
            <a:r>
              <a:rPr lang="en-US" cap="none" sz="1600" b="0" i="0" u="none" baseline="0"/>
              <a:t>99</a:t>
            </a:r>
            <a:r>
              <a:rPr lang="en-US" cap="none" sz="1600" b="0" i="0" u="none" baseline="0"/>
              <a:t>年第</a:t>
            </a:r>
            <a:r>
              <a:rPr lang="en-US" cap="none" sz="1600" b="0" i="0" u="none" baseline="0"/>
              <a:t>4</a:t>
            </a:r>
            <a:r>
              <a:rPr lang="en-US" cap="none" sz="1600" b="0" i="0" u="none" baseline="0"/>
              <a:t>季底</a:t>
            </a:r>
          </a:p>
        </c:rich>
      </c:tx>
      <c:layout>
        <c:manualLayout>
          <c:xMode val="factor"/>
          <c:yMode val="factor"/>
          <c:x val="0.00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6675"/>
          <c:w val="0.968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'表15歲出預算執行情形'!$U$9:$U$31</c:f>
              <c:strCache/>
            </c:strRef>
          </c:cat>
          <c:val>
            <c:numRef>
              <c:f>'表15歲出預算執行情形'!$V$9:$V$31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25742622"/>
        <c:axId val="30357007"/>
      </c:bar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/>
            </a:pPr>
          </a:p>
        </c:txPr>
        <c:crossAx val="30357007"/>
        <c:crosses val="autoZero"/>
        <c:auto val="1"/>
        <c:lblOffset val="100"/>
        <c:noMultiLvlLbl val="0"/>
      </c:catAx>
      <c:valAx>
        <c:axId val="3035700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574262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19. </a:t>
            </a:r>
            <a:r>
              <a:rPr lang="en-US" cap="none" sz="1600" b="0" i="0" u="none" baseline="0"/>
              <a:t>資本門歲出占分配數執行率
</a:t>
            </a:r>
            <a:r>
              <a:rPr lang="en-US" cap="none" sz="1600" b="0" i="0" u="none" baseline="0"/>
              <a:t>99</a:t>
            </a:r>
            <a:r>
              <a:rPr lang="en-US" cap="none" sz="1600" b="0" i="0" u="none" baseline="0"/>
              <a:t>年第</a:t>
            </a:r>
            <a:r>
              <a:rPr lang="en-US" cap="none" sz="1600" b="0" i="0" u="none" baseline="0"/>
              <a:t>4</a:t>
            </a:r>
            <a:r>
              <a:rPr lang="en-US" cap="none" sz="1600" b="0" i="0" u="none" baseline="0"/>
              <a:t>季底</a:t>
            </a:r>
          </a:p>
        </c:rich>
      </c:tx>
      <c:layout>
        <c:manualLayout>
          <c:xMode val="factor"/>
          <c:yMode val="factor"/>
          <c:x val="0.025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5"/>
          <c:w val="0.98125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'表15歲出預算執行情形'!$U$33:$U$48</c:f>
              <c:strCache/>
            </c:strRef>
          </c:cat>
          <c:val>
            <c:numRef>
              <c:f>'表15歲出預算執行情形'!$V$33:$V$48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777608"/>
        <c:axId val="42998473"/>
      </c:barChart>
      <c:catAx>
        <c:axId val="4777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42998473"/>
        <c:crosses val="autoZero"/>
        <c:auto val="1"/>
        <c:lblOffset val="100"/>
        <c:noMultiLvlLbl val="0"/>
      </c:catAx>
      <c:valAx>
        <c:axId val="4299847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0.1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7760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2. </a:t>
            </a:r>
            <a:r>
              <a:rPr lang="en-US" cap="none" sz="1600" b="0" i="0" u="none" baseline="0"/>
              <a:t>勞動力參與率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525"/>
          <c:w val="0.894"/>
          <c:h val="0.839"/>
        </c:manualLayout>
      </c:layout>
      <c:lineChart>
        <c:grouping val="standard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'表5勞動力與就業'!$N$12:$N$16</c:f>
              <c:strCache/>
            </c:strRef>
          </c:cat>
          <c:val>
            <c:numRef>
              <c:f>'表5勞動力與就業'!$O$12:$O$16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419122"/>
        <c:axId val="32336643"/>
      </c:line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32336643"/>
        <c:crosses val="autoZero"/>
        <c:auto val="0"/>
        <c:lblOffset val="100"/>
        <c:noMultiLvlLbl val="0"/>
      </c:catAx>
      <c:valAx>
        <c:axId val="32336643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419122"/>
        <c:crossesAt val="1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圖21. 實收納庫數占預算分配數之比率(經常門)
99年第4季底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50"/>
      <c:rAngAx val="1"/>
    </c:view3D>
    <c:plotArea>
      <c:layout>
        <c:manualLayout>
          <c:xMode val="edge"/>
          <c:yMode val="edge"/>
          <c:x val="0"/>
          <c:y val="0.23675"/>
          <c:w val="0.9385"/>
          <c:h val="0.76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'表16歲入預算執行情形'!$W$8:$W$14</c:f>
              <c:strCache/>
            </c:strRef>
          </c:cat>
          <c:val>
            <c:numRef>
              <c:f>'表16歲入預算執行情形'!$X$8:$X$14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gapWidth val="80"/>
        <c:shape val="box"/>
        <c:axId val="51441938"/>
        <c:axId val="60324259"/>
      </c:bar3DChart>
      <c:catAx>
        <c:axId val="51441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科目</a:t>
                </a:r>
              </a:p>
            </c:rich>
          </c:tx>
          <c:layout>
            <c:manualLayout>
              <c:xMode val="factor"/>
              <c:yMode val="factor"/>
              <c:x val="0.2085"/>
              <c:y val="-0.3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24259"/>
        <c:crosses val="autoZero"/>
        <c:auto val="1"/>
        <c:lblOffset val="100"/>
        <c:noMultiLvlLbl val="0"/>
      </c:catAx>
      <c:valAx>
        <c:axId val="6032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百分比</a:t>
                </a:r>
              </a:p>
            </c:rich>
          </c:tx>
          <c:layout>
            <c:manualLayout>
              <c:xMode val="factor"/>
              <c:yMode val="factor"/>
              <c:x val="0.3715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419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圖20</a:t>
            </a:r>
            <a:r>
              <a:rPr lang="en-US" cap="none" sz="1600" b="0" i="0" u="none" baseline="0"/>
              <a:t>. </a:t>
            </a:r>
            <a:r>
              <a:rPr lang="en-US" cap="none" sz="1600" b="0" i="0" u="none" baseline="0"/>
              <a:t>歲入來源比例圖</a:t>
            </a:r>
            <a:r>
              <a:rPr lang="en-US" cap="none" sz="1600" b="0" i="0" u="none" baseline="0"/>
              <a:t>(</a:t>
            </a:r>
            <a:r>
              <a:rPr lang="en-US" cap="none" sz="1600" b="0" i="0" u="none" baseline="0"/>
              <a:t>經常門</a:t>
            </a:r>
            <a:r>
              <a:rPr lang="en-US" cap="none" sz="1600" b="0" i="0" u="none" baseline="0"/>
              <a:t>)</a:t>
            </a:r>
            <a:r>
              <a:rPr lang="en-US" cap="none" sz="1600" b="0" i="0" u="none" baseline="0"/>
              <a:t>
99年度</a:t>
            </a:r>
          </a:p>
        </c:rich>
      </c:tx>
      <c:layout>
        <c:manualLayout>
          <c:xMode val="factor"/>
          <c:yMode val="factor"/>
          <c:x val="0.013"/>
          <c:y val="-0.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5"/>
          <c:y val="0.41375"/>
          <c:w val="0.5"/>
          <c:h val="0.33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'表16歲入預算執行情形'!$U$8:$U$14</c:f>
              <c:strCache/>
            </c:strRef>
          </c:cat>
          <c:val>
            <c:numRef>
              <c:f>'表16歲入預算執行情形'!$V$8:$V$14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23. </a:t>
            </a:r>
            <a:r>
              <a:rPr lang="en-US" cap="none" sz="1600" b="0" i="0" u="none" baseline="0"/>
              <a:t>宜蘭縣商業登記家數與資本額</a:t>
            </a:r>
          </a:p>
        </c:rich>
      </c:tx>
      <c:layout>
        <c:manualLayout>
          <c:xMode val="factor"/>
          <c:yMode val="factor"/>
          <c:x val="0.008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8825"/>
          <c:w val="0.94625"/>
          <c:h val="0.7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'表17工商行業'!$X$66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'表17工商行業'!$W$67:$W$76</c:f>
              <c:strCache/>
            </c:strRef>
          </c:cat>
          <c:val>
            <c:numRef>
              <c:f>'表17工商行業'!$X$67:$X$76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047420"/>
        <c:axId val="54426781"/>
      </c:barChart>
      <c:lineChart>
        <c:grouping val="standard"/>
        <c:varyColors val="0"/>
        <c:ser>
          <c:idx val="0"/>
          <c:order val="1"/>
          <c:tx>
            <c:strRef>
              <c:f>'表17工商行業'!$Y$66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'表17工商行業'!$W$67:$W$76</c:f>
              <c:strCache/>
            </c:strRef>
          </c:cat>
          <c:val>
            <c:numRef>
              <c:f>'表17工商行業'!$Y$67:$Y$76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0078982"/>
        <c:axId val="46493111"/>
      </c:lineChart>
      <c:catAx>
        <c:axId val="6047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54426781"/>
        <c:crosses val="autoZero"/>
        <c:auto val="0"/>
        <c:lblOffset val="100"/>
        <c:noMultiLvlLbl val="0"/>
      </c:catAx>
      <c:valAx>
        <c:axId val="54426781"/>
        <c:scaling>
          <c:orientation val="minMax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單位：家</a:t>
                </a:r>
              </a:p>
            </c:rich>
          </c:tx>
          <c:layout>
            <c:manualLayout>
              <c:xMode val="factor"/>
              <c:yMode val="factor"/>
              <c:x val="0.023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47420"/>
        <c:crossesAt val="1"/>
        <c:crossBetween val="between"/>
        <c:dispUnits/>
        <c:majorUnit val="3000"/>
      </c:valAx>
      <c:catAx>
        <c:axId val="20078982"/>
        <c:scaling>
          <c:orientation val="minMax"/>
        </c:scaling>
        <c:axPos val="b"/>
        <c:delete val="1"/>
        <c:majorTickMark val="in"/>
        <c:minorTickMark val="none"/>
        <c:tickLblPos val="nextTo"/>
        <c:crossAx val="46493111"/>
        <c:crosses val="autoZero"/>
        <c:auto val="1"/>
        <c:lblOffset val="100"/>
        <c:noMultiLvlLbl val="0"/>
      </c:catAx>
      <c:valAx>
        <c:axId val="46493111"/>
        <c:scaling>
          <c:orientation val="minMax"/>
          <c:min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單位：千元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078982"/>
        <c:crosses val="max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"/>
          <c:y val="0.926"/>
          <c:w val="0.391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22. </a:t>
            </a:r>
            <a:r>
              <a:rPr lang="en-US" cap="none" sz="1600" b="0" i="0" u="none" baseline="0"/>
              <a:t>宜蘭縣工廠登記家數趨勢圖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view3D>
      <c:rotX val="9"/>
      <c:rotY val="34"/>
      <c:depthPercent val="100"/>
      <c:rAngAx val="1"/>
    </c:view3D>
    <c:plotArea>
      <c:layout>
        <c:manualLayout>
          <c:xMode val="edge"/>
          <c:yMode val="edge"/>
          <c:x val="0"/>
          <c:y val="0.19075"/>
          <c:w val="0.924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'表17工商行業'!$T$67:$T$76</c:f>
              <c:strCache/>
            </c:strRef>
          </c:cat>
          <c:val>
            <c:numRef>
              <c:f>'表17工商行業'!$U$67:$U$76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pyramid"/>
        </c:ser>
        <c:gapWidth val="100"/>
        <c:shape val="pyramid"/>
        <c:axId val="15784816"/>
        <c:axId val="7845617"/>
      </c:bar3D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7845617"/>
        <c:crosses val="autoZero"/>
        <c:auto val="1"/>
        <c:lblOffset val="100"/>
        <c:noMultiLvlLbl val="0"/>
      </c:catAx>
      <c:valAx>
        <c:axId val="7845617"/>
        <c:scaling>
          <c:orientation val="minMax"/>
          <c:max val="1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單位：家數</a:t>
                </a:r>
              </a:p>
            </c:rich>
          </c:tx>
          <c:layout>
            <c:manualLayout>
              <c:xMode val="factor"/>
              <c:yMode val="factor"/>
              <c:x val="0.094"/>
              <c:y val="-0.3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7848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25. </a:t>
            </a:r>
            <a:r>
              <a:rPr lang="en-US" cap="none" sz="1600" b="0" i="0" u="none" baseline="0"/>
              <a:t>宜蘭縣總樓板面積趨勢</a:t>
            </a:r>
          </a:p>
        </c:rich>
      </c:tx>
      <c:layout>
        <c:manualLayout>
          <c:xMode val="factor"/>
          <c:yMode val="factor"/>
          <c:x val="0.027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1825"/>
          <c:w val="0.937"/>
          <c:h val="0.83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'表18總樓板面積'!$U$65:$U$74</c:f>
              <c:strCache/>
            </c:strRef>
          </c:cat>
          <c:val>
            <c:numRef>
              <c:f>'表18總樓板面積'!$V$65:$V$74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501690"/>
        <c:axId val="31515211"/>
      </c:lineChart>
      <c:catAx>
        <c:axId val="3501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75" b="0" i="0" u="none" baseline="0"/>
            </a:pPr>
          </a:p>
        </c:txPr>
        <c:crossAx val="31515211"/>
        <c:crosses val="autoZero"/>
        <c:auto val="1"/>
        <c:lblOffset val="100"/>
        <c:noMultiLvlLbl val="0"/>
      </c:catAx>
      <c:valAx>
        <c:axId val="315152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501690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24. </a:t>
            </a:r>
            <a:r>
              <a:rPr lang="en-US" cap="none" sz="1600" b="0" i="0" u="none" baseline="0"/>
              <a:t>宜蘭縣總樓板面積概況</a:t>
            </a:r>
          </a:p>
        </c:rich>
      </c:tx>
      <c:layout>
        <c:manualLayout>
          <c:xMode val="factor"/>
          <c:yMode val="factor"/>
          <c:x val="0.029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582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'表18總樓板面積'!$Y$64:$Y$68</c:f>
              <c:strCache/>
            </c:strRef>
          </c:cat>
          <c:val>
            <c:numRef>
              <c:f>'表18總樓板面積'!$Z$64:$Z$68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201444"/>
        <c:axId val="2595269"/>
      </c:bar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/>
            </a:pPr>
          </a:p>
        </c:txPr>
        <c:crossAx val="2595269"/>
        <c:crosses val="autoZero"/>
        <c:auto val="1"/>
        <c:lblOffset val="100"/>
        <c:noMultiLvlLbl val="0"/>
      </c:catAx>
      <c:valAx>
        <c:axId val="25952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平方公尺</a:t>
                </a:r>
              </a:p>
            </c:rich>
          </c:tx>
          <c:layout>
            <c:manualLayout>
              <c:xMode val="factor"/>
              <c:yMode val="factor"/>
              <c:x val="0.04475"/>
              <c:y val="0.16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201444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26. </a:t>
            </a:r>
            <a:r>
              <a:rPr lang="en-US" cap="none" sz="1625" b="0" i="0" u="none" baseline="0"/>
              <a:t>宜蘭縣觀光遊憩區遊客人次</a:t>
            </a:r>
          </a:p>
        </c:rich>
      </c:tx>
      <c:layout>
        <c:manualLayout>
          <c:xMode val="factor"/>
          <c:yMode val="factor"/>
          <c:x val="0.03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45"/>
          <c:w val="0.9695"/>
          <c:h val="0.86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'表19觀光遊憩區遊客人次'!$N$63:$N$72</c:f>
              <c:strCache/>
            </c:strRef>
          </c:cat>
          <c:val>
            <c:numRef>
              <c:f>'表19觀光遊憩區遊客人次'!$O$63:$O$72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3357422"/>
        <c:axId val="8890207"/>
      </c:line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/>
            </a:pPr>
          </a:p>
        </c:txPr>
        <c:crossAx val="8890207"/>
        <c:crosses val="autoZero"/>
        <c:auto val="1"/>
        <c:lblOffset val="100"/>
        <c:noMultiLvlLbl val="0"/>
      </c:catAx>
      <c:valAx>
        <c:axId val="8890207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人次</a:t>
                </a:r>
              </a:p>
            </c:rich>
          </c:tx>
          <c:layout>
            <c:manualLayout>
              <c:xMode val="factor"/>
              <c:yMode val="factor"/>
              <c:x val="0.038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3357422"/>
        <c:crossesAt val="1"/>
        <c:crossBetween val="midCat"/>
        <c:dispUnits/>
        <c:majorUnit val="5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27. </a:t>
            </a:r>
            <a:r>
              <a:rPr lang="en-US" cap="none" sz="1600" b="0" i="0" u="none" baseline="0"/>
              <a:t>宜蘭縣觀光遊憩區遊客人次比例 
99年第4季</a:t>
            </a:r>
          </a:p>
        </c:rich>
      </c:tx>
      <c:layout>
        <c:manualLayout>
          <c:xMode val="factor"/>
          <c:yMode val="factor"/>
          <c:x val="-0.00675"/>
          <c:y val="-0.0025"/>
        </c:manualLayout>
      </c:layout>
      <c:spPr>
        <a:noFill/>
        <a:ln>
          <a:noFill/>
        </a:ln>
      </c:spPr>
    </c:title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1425"/>
          <c:y val="0.4125"/>
          <c:w val="0.56125"/>
          <c:h val="0.4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'表19觀光遊憩區遊客人次'!$P$62:$W$62</c:f>
              <c:strCache/>
            </c:strRef>
          </c:cat>
          <c:val>
            <c:numRef>
              <c:f>'表19觀光遊憩區遊客人次'!$P$64:$W$64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28. </a:t>
            </a:r>
            <a:r>
              <a:rPr lang="en-US" cap="none" sz="1600" b="0" i="0" u="none" baseline="0"/>
              <a:t>動力漁船數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375"/>
          <c:w val="0.96075"/>
          <c:h val="0.7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'表20漁業'!$C$89</c:f>
              <c:strCache>
                <c:ptCount val="1"/>
                <c:pt idx="0">
                  <c:v>動力漁船艘數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'表20漁業'!$B$90:$B$94</c:f>
              <c:strCache/>
            </c:strRef>
          </c:cat>
          <c:val>
            <c:numRef>
              <c:f>'表20漁業'!$C$90:$C$94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12903000"/>
        <c:axId val="49018137"/>
      </c:barChart>
      <c:lineChart>
        <c:grouping val="standard"/>
        <c:varyColors val="0"/>
        <c:ser>
          <c:idx val="0"/>
          <c:order val="1"/>
          <c:tx>
            <c:strRef>
              <c:f>'表20漁業'!$D$89</c:f>
              <c:strCache>
                <c:ptCount val="1"/>
                <c:pt idx="0">
                  <c:v>動力漁船噸數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'表20漁業'!$B$90:$B$94</c:f>
              <c:strCache/>
            </c:strRef>
          </c:cat>
          <c:val>
            <c:numRef>
              <c:f>'表20漁業'!$D$90:$D$94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upDownBars>
          <c:upBars/>
          <c:downBars/>
        </c:upDownBars>
        <c:axId val="38510050"/>
        <c:axId val="11046131"/>
      </c:line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49018137"/>
        <c:crosses val="autoZero"/>
        <c:auto val="0"/>
        <c:lblOffset val="100"/>
        <c:noMultiLvlLbl val="0"/>
      </c:catAx>
      <c:valAx>
        <c:axId val="49018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艘數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903000"/>
        <c:crossesAt val="1"/>
        <c:crossBetween val="between"/>
        <c:dispUnits/>
      </c:valAx>
      <c:catAx>
        <c:axId val="38510050"/>
        <c:scaling>
          <c:orientation val="minMax"/>
        </c:scaling>
        <c:axPos val="b"/>
        <c:delete val="1"/>
        <c:majorTickMark val="in"/>
        <c:minorTickMark val="none"/>
        <c:tickLblPos val="nextTo"/>
        <c:crossAx val="11046131"/>
        <c:crosses val="autoZero"/>
        <c:auto val="0"/>
        <c:lblOffset val="100"/>
        <c:noMultiLvlLbl val="0"/>
      </c:catAx>
      <c:valAx>
        <c:axId val="11046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噸數</a:t>
                </a:r>
              </a:p>
            </c:rich>
          </c:tx>
          <c:layout>
            <c:manualLayout>
              <c:xMode val="factor"/>
              <c:yMode val="factor"/>
              <c:x val="0.035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5100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29. </a:t>
            </a:r>
            <a:r>
              <a:rPr lang="en-US" cap="none" sz="1600" b="0" i="0" u="none" baseline="0"/>
              <a:t>漁業產量 </a:t>
            </a:r>
          </a:p>
        </c:rich>
      </c:tx>
      <c:layout>
        <c:manualLayout>
          <c:xMode val="factor"/>
          <c:yMode val="factor"/>
          <c:x val="-0.00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45"/>
          <c:w val="0.9697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'表20漁業'!$E$89</c:f>
              <c:strCache>
                <c:ptCount val="1"/>
                <c:pt idx="0">
                  <c:v>噸數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'表20漁業'!$B$90:$B$94</c:f>
              <c:strCache/>
            </c:strRef>
          </c:cat>
          <c:val>
            <c:numRef>
              <c:f>'表20漁業'!$E$90:$E$94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32306316"/>
        <c:axId val="22321389"/>
      </c:bar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22321389"/>
        <c:crosses val="autoZero"/>
        <c:auto val="1"/>
        <c:lblOffset val="100"/>
        <c:noMultiLvlLbl val="0"/>
      </c:catAx>
      <c:valAx>
        <c:axId val="223213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公噸</a:t>
                </a:r>
              </a:p>
            </c:rich>
          </c:tx>
          <c:layout>
            <c:manualLayout>
              <c:xMode val="factor"/>
              <c:yMode val="factor"/>
              <c:x val="0.034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306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3. </a:t>
            </a:r>
            <a:r>
              <a:rPr lang="en-US" cap="none" sz="1625" b="0" i="0" u="none" baseline="0"/>
              <a:t>失業率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1275"/>
          <c:w val="0.8515"/>
          <c:h val="0.840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'表5勞動力與就業'!$N$27:$N$31</c:f>
              <c:strCache/>
            </c:strRef>
          </c:cat>
          <c:val>
            <c:numRef>
              <c:f>'表5勞動力與就業'!$O$27:$O$31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2594332"/>
        <c:axId val="2022397"/>
      </c:line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2022397"/>
        <c:crosses val="autoZero"/>
        <c:auto val="1"/>
        <c:lblOffset val="100"/>
        <c:noMultiLvlLbl val="0"/>
      </c:catAx>
      <c:valAx>
        <c:axId val="2022397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2594332"/>
        <c:crossesAt val="1"/>
        <c:crossBetween val="midCat"/>
        <c:dispUnits/>
        <c:majorUnit val="1"/>
        <c:minorUnit val="0.02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30. </a:t>
            </a:r>
            <a:r>
              <a:rPr lang="en-US" cap="none" sz="1600" b="0" i="0" u="none" baseline="0"/>
              <a:t>國中小學學生人數圖</a:t>
            </a:r>
          </a:p>
        </c:rich>
      </c:tx>
      <c:layout>
        <c:manualLayout>
          <c:xMode val="factor"/>
          <c:yMode val="factor"/>
          <c:x val="0.02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835"/>
          <c:w val="0.83475"/>
          <c:h val="0.6925"/>
        </c:manualLayout>
      </c:layout>
      <c:lineChart>
        <c:grouping val="standard"/>
        <c:varyColors val="0"/>
        <c:ser>
          <c:idx val="0"/>
          <c:order val="0"/>
          <c:tx>
            <c:strRef>
              <c:f>'表21教育'!$G$53</c:f>
              <c:strCache>
                <c:ptCount val="1"/>
                <c:pt idx="0">
                  <c:v>國中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'表21教育'!$B$82:$B$91</c:f>
              <c:strCache/>
            </c:strRef>
          </c:cat>
          <c:val>
            <c:numRef>
              <c:f>'表21教育'!$G$57:$G$66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'表21教育'!$H$53</c:f>
              <c:strCache>
                <c:ptCount val="1"/>
                <c:pt idx="0">
                  <c:v>國小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'表21教育'!$B$82:$B$91</c:f>
              <c:strCache/>
            </c:strRef>
          </c:cat>
          <c:val>
            <c:numRef>
              <c:f>'表21教育'!$H$57:$H$66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66674774"/>
        <c:axId val="63202055"/>
      </c:line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63202055"/>
        <c:crossesAt val="0"/>
        <c:auto val="1"/>
        <c:lblOffset val="0"/>
        <c:noMultiLvlLbl val="0"/>
      </c:catAx>
      <c:valAx>
        <c:axId val="63202055"/>
        <c:scaling>
          <c:orientation val="minMax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66674774"/>
        <c:crossesAt val="1"/>
        <c:crossBetween val="midCat"/>
        <c:dispUnits/>
        <c:majorUnit val="500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</a:t>
            </a:r>
            <a:r>
              <a:rPr lang="en-US" cap="none" sz="1600" b="0" i="0" u="none" baseline="0"/>
              <a:t>31. </a:t>
            </a:r>
            <a:r>
              <a:rPr lang="en-US" cap="none" sz="1600" b="0" i="0" u="none" baseline="0"/>
              <a:t>國中小學教師人數圖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725"/>
          <c:w val="0.885"/>
          <c:h val="0.628"/>
        </c:manualLayout>
      </c:layout>
      <c:lineChart>
        <c:grouping val="standard"/>
        <c:varyColors val="0"/>
        <c:ser>
          <c:idx val="0"/>
          <c:order val="0"/>
          <c:tx>
            <c:strRef>
              <c:f>'表21教育'!$I$53</c:f>
              <c:strCache>
                <c:ptCount val="1"/>
                <c:pt idx="0">
                  <c:v>國中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'表21教育'!$B$82:$B$91</c:f>
              <c:strCache/>
            </c:strRef>
          </c:cat>
          <c:val>
            <c:numRef>
              <c:f>'表21教育'!$I$57:$I$66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'表21教育'!$J$53</c:f>
              <c:strCache>
                <c:ptCount val="1"/>
                <c:pt idx="0">
                  <c:v>國小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'表21教育'!$B$82:$B$91</c:f>
              <c:strCache/>
            </c:strRef>
          </c:cat>
          <c:val>
            <c:numRef>
              <c:f>'表21教育'!$J$57:$J$66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092801"/>
        <c:crossesAt val="0"/>
        <c:auto val="1"/>
        <c:lblOffset val="0"/>
        <c:noMultiLvlLbl val="0"/>
      </c:catAx>
      <c:valAx>
        <c:axId val="19092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47584"/>
        <c:crossesAt val="1"/>
        <c:crossBetween val="midCat"/>
        <c:dispUnits/>
        <c:minorUnit val="10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5. </a:t>
            </a:r>
            <a:r>
              <a:rPr lang="en-US" cap="none" sz="1625" b="0" i="0" u="none" baseline="0"/>
              <a:t>宜蘭縣各年度稅捐實徵淨額趨勢</a:t>
            </a:r>
          </a:p>
        </c:rich>
      </c:tx>
      <c:layout>
        <c:manualLayout>
          <c:xMode val="factor"/>
          <c:yMode val="factor"/>
          <c:x val="0.053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0.947"/>
          <c:h val="0.877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'表6稅捐徵收'!$Q$42:$Q$51</c:f>
              <c:strCache/>
            </c:strRef>
          </c:cat>
          <c:val>
            <c:numRef>
              <c:f>'表6稅捐徵收'!$R$42:$R$51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201574"/>
        <c:axId val="29596439"/>
      </c:line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29596439"/>
        <c:crosses val="autoZero"/>
        <c:auto val="1"/>
        <c:lblOffset val="100"/>
        <c:noMultiLvlLbl val="0"/>
      </c:catAx>
      <c:valAx>
        <c:axId val="295964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8201574"/>
        <c:crossesAt val="1"/>
        <c:crossBetween val="midCat"/>
        <c:dispUnits/>
        <c:majorUnit val="10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圖</a:t>
            </a:r>
            <a:r>
              <a:rPr lang="en-US" cap="none" sz="1625" b="0" i="0" u="none" baseline="0"/>
              <a:t>4. </a:t>
            </a:r>
            <a:r>
              <a:rPr lang="en-US" cap="none" sz="1625" b="0" i="0" u="none" baseline="0"/>
              <a:t>宜蘭縣各項稅捐實徵淨額
</a:t>
            </a:r>
            <a:r>
              <a:rPr lang="en-US" cap="none" sz="1625" b="0" i="0" u="none" baseline="0"/>
              <a:t>99</a:t>
            </a:r>
            <a:r>
              <a:rPr lang="en-US" cap="none" sz="1625" b="0" i="0" u="none" baseline="0"/>
              <a:t>年第</a:t>
            </a:r>
            <a:r>
              <a:rPr lang="en-US" cap="none" sz="1625" b="0" i="0" u="none" baseline="0"/>
              <a:t>4</a:t>
            </a:r>
            <a:r>
              <a:rPr lang="en-US" cap="none" sz="1625" b="0" i="0" u="none" baseline="0"/>
              <a:t>季</a:t>
            </a:r>
          </a:p>
        </c:rich>
      </c:tx>
      <c:layout>
        <c:manualLayout>
          <c:xMode val="factor"/>
          <c:yMode val="factor"/>
          <c:x val="0.037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85"/>
          <c:w val="0.906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'表6稅捐徵收'!$Q$57:$X$57</c:f>
              <c:strCache/>
            </c:strRef>
          </c:cat>
          <c:val>
            <c:numRef>
              <c:f>'表6稅捐徵收'!$Q$58:$X$58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041360"/>
        <c:axId val="48501329"/>
      </c:bar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125" b="0" i="0" u="none" baseline="0"/>
            </a:pPr>
          </a:p>
        </c:txPr>
        <c:crossAx val="48501329"/>
        <c:crossesAt val="0"/>
        <c:auto val="1"/>
        <c:lblOffset val="0"/>
        <c:noMultiLvlLbl val="0"/>
      </c:catAx>
      <c:valAx>
        <c:axId val="485013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千元</a:t>
                </a:r>
              </a:p>
            </c:rich>
          </c:tx>
          <c:layout>
            <c:manualLayout>
              <c:xMode val="factor"/>
              <c:yMode val="factor"/>
              <c:x val="0.0392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5041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圖7.宜蘭縣各年度營利事業家數與銷售額趨勢</a:t>
            </a:r>
          </a:p>
        </c:rich>
      </c:tx>
      <c:layout>
        <c:manualLayout>
          <c:xMode val="factor"/>
          <c:yMode val="factor"/>
          <c:x val="0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625"/>
          <c:w val="0.86775"/>
          <c:h val="0.8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'表7營利事業銷售額'!$C$54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'表7營利事業銷售額'!$B$55:$B$62</c:f>
              <c:strCache/>
            </c:strRef>
          </c:cat>
          <c:val>
            <c:numRef>
              <c:f>'表7營利事業銷售額'!$C$55:$C$62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858778"/>
        <c:axId val="36293547"/>
      </c:barChart>
      <c:lineChart>
        <c:grouping val="standard"/>
        <c:varyColors val="0"/>
        <c:ser>
          <c:idx val="0"/>
          <c:order val="1"/>
          <c:tx>
            <c:strRef>
              <c:f>'表7營利事業銷售額'!$D$54</c:f>
              <c:strCache>
                <c:ptCount val="1"/>
                <c:pt idx="0">
                  <c:v>銷售額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.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'表7營利事業銷售額'!$B$55:$B$62</c:f>
              <c:strCache/>
            </c:strRef>
          </c:cat>
          <c:val>
            <c:numRef>
              <c:f>'表7營利事業銷售額'!$D$55:$D$62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8206468"/>
        <c:axId val="54096165"/>
      </c:line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293547"/>
        <c:crosses val="autoZero"/>
        <c:auto val="0"/>
        <c:lblOffset val="100"/>
        <c:noMultiLvlLbl val="0"/>
      </c:catAx>
      <c:valAx>
        <c:axId val="362935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858778"/>
        <c:crossesAt val="1"/>
        <c:crossBetween val="between"/>
        <c:dispUnits/>
      </c:valAx>
      <c:catAx>
        <c:axId val="58206468"/>
        <c:scaling>
          <c:orientation val="minMax"/>
        </c:scaling>
        <c:axPos val="b"/>
        <c:delete val="1"/>
        <c:majorTickMark val="in"/>
        <c:minorTickMark val="none"/>
        <c:tickLblPos val="nextTo"/>
        <c:crossAx val="54096165"/>
        <c:crosses val="autoZero"/>
        <c:auto val="0"/>
        <c:lblOffset val="100"/>
        <c:noMultiLvlLbl val="0"/>
      </c:catAx>
      <c:valAx>
        <c:axId val="54096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億元</a:t>
                </a:r>
              </a:p>
            </c:rich>
          </c:tx>
          <c:layout>
            <c:manualLayout>
              <c:xMode val="factor"/>
              <c:yMode val="factor"/>
              <c:x val="0.029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2064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"/>
          <c:y val="0.89275"/>
          <c:w val="0.126"/>
          <c:h val="0.10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圖6.宜蘭縣99年前5大營利事業銷售額比例</a:t>
            </a:r>
          </a:p>
        </c:rich>
      </c:tx>
      <c:layout>
        <c:manualLayout>
          <c:xMode val="factor"/>
          <c:yMode val="factor"/>
          <c:x val="-0.0015"/>
          <c:y val="-0.00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75"/>
          <c:y val="0.386"/>
          <c:w val="0.61075"/>
          <c:h val="0.39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('表7營利事業銷售額'!$H$52,'表7營利事業銷售額'!$N$52,'表7營利事業銷售額'!$P$52,'表7營利事業銷售額'!$R$52,'表7營利事業銷售額'!$T$52,'表7營利事業銷售額'!$AO$52)</c:f>
              <c:strCache/>
            </c:strRef>
          </c:cat>
          <c:val>
            <c:numRef>
              <c:f>('表7營利事業銷售額'!$H$53,'表7營利事業銷售額'!$N$53,'表7營利事業銷售額'!$P$53,'表7營利事業銷售額'!$R$53,'表7營利事業銷售額'!$T$53,'表7營利事業銷售額'!$AO$53)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/>
              <a:t>圖9. 99年第4季資源回收成果</a:t>
            </a:r>
          </a:p>
        </c:rich>
      </c:tx>
      <c:layout>
        <c:manualLayout>
          <c:xMode val="factor"/>
          <c:yMode val="factor"/>
          <c:x val="-0.0115"/>
          <c:y val="0.01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9"/>
          <c:y val="0.36925"/>
          <c:w val="0.50725"/>
          <c:h val="0.3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廢塑膠製品
(含保特瓶)
12.00%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'表8環境保護'!$S$25:$S$30</c:f>
              <c:strCache/>
            </c:strRef>
          </c:cat>
          <c:val>
            <c:numRef>
              <c:f>'表8環境保護'!$U$25:$U$30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/>
              <a:t>圖8. 99年第4季公害陳請案件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25"/>
          <c:y val="0.31975"/>
          <c:w val="0.56075"/>
          <c:h val="0.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空氣污染
(不含惡臭)
17.76%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空氣污染
(惡臭)
27.56%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'表8環境保護'!$S$6:$T$13</c:f>
              <c:multiLvlStrCache/>
            </c:multiLvlStrRef>
          </c:cat>
          <c:val>
            <c:numRef>
              <c:f>'表8環境保護'!$V$6:$V$13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image" Target="../media/image1.bmp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2</xdr:row>
      <xdr:rowOff>333375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4752975" y="866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0.1215</cdr:y>
    </cdr:from>
    <cdr:to>
      <cdr:x>0.20975</cdr:x>
      <cdr:y>0.1755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43815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千元</a:t>
          </a:r>
        </a:p>
      </cdr:txBody>
    </cdr:sp>
  </cdr:relSizeAnchor>
  <cdr:relSizeAnchor xmlns:cdr="http://schemas.openxmlformats.org/drawingml/2006/chartDrawing">
    <cdr:from>
      <cdr:x>0.10325</cdr:x>
      <cdr:y>0.75175</cdr:y>
    </cdr:from>
    <cdr:to>
      <cdr:x>0.133</cdr:x>
      <cdr:y>0.8005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81025" y="2714625"/>
          <a:ext cx="17145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47625</xdr:rowOff>
    </xdr:from>
    <xdr:to>
      <xdr:col>7</xdr:col>
      <xdr:colOff>457200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571500" y="2400300"/>
        <a:ext cx="5686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22</xdr:row>
      <xdr:rowOff>152400</xdr:rowOff>
    </xdr:from>
    <xdr:to>
      <xdr:col>7</xdr:col>
      <xdr:colOff>466725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571500" y="6629400"/>
        <a:ext cx="56959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23</xdr:row>
      <xdr:rowOff>304800</xdr:rowOff>
    </xdr:from>
    <xdr:to>
      <xdr:col>2</xdr:col>
      <xdr:colOff>733425</xdr:colOff>
      <xdr:row>24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6991350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千元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</xdr:row>
      <xdr:rowOff>152400</xdr:rowOff>
    </xdr:from>
    <xdr:to>
      <xdr:col>10</xdr:col>
      <xdr:colOff>333375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771525" y="2057400"/>
        <a:ext cx="57626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571500</xdr:colOff>
      <xdr:row>50</xdr:row>
      <xdr:rowOff>123825</xdr:rowOff>
    </xdr:from>
    <xdr:to>
      <xdr:col>10</xdr:col>
      <xdr:colOff>342900</xdr:colOff>
      <xdr:row>61</xdr:row>
      <xdr:rowOff>95250</xdr:rowOff>
    </xdr:to>
    <xdr:graphicFrame>
      <xdr:nvGraphicFramePr>
        <xdr:cNvPr id="2" name="Chart 4"/>
        <xdr:cNvGraphicFramePr/>
      </xdr:nvGraphicFramePr>
      <xdr:xfrm>
        <a:off x="771525" y="6238875"/>
        <a:ext cx="57721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0.75325</cdr:y>
    </cdr:from>
    <cdr:to>
      <cdr:x>0.09375</cdr:x>
      <cdr:y>0.8225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0480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0.87325</cdr:x>
      <cdr:y>0.74375</cdr:y>
    </cdr:from>
    <cdr:to>
      <cdr:x>0.9525</cdr:x>
      <cdr:y>0.8135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300990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0.12225</cdr:x>
      <cdr:y>0.727</cdr:y>
    </cdr:from>
    <cdr:to>
      <cdr:x>0.1525</cdr:x>
      <cdr:y>0.76375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2943225"/>
          <a:ext cx="171450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0.8355</cdr:x>
      <cdr:y>0.717</cdr:y>
    </cdr:from>
    <cdr:to>
      <cdr:x>0.8665</cdr:x>
      <cdr:y>0.75325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19650" y="2905125"/>
          <a:ext cx="18097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48</xdr:row>
      <xdr:rowOff>209550</xdr:rowOff>
    </xdr:from>
    <xdr:to>
      <xdr:col>13</xdr:col>
      <xdr:colOff>38100</xdr:colOff>
      <xdr:row>60</xdr:row>
      <xdr:rowOff>200025</xdr:rowOff>
    </xdr:to>
    <xdr:graphicFrame>
      <xdr:nvGraphicFramePr>
        <xdr:cNvPr id="1" name="Chart 1"/>
        <xdr:cNvGraphicFramePr/>
      </xdr:nvGraphicFramePr>
      <xdr:xfrm>
        <a:off x="628650" y="6000750"/>
        <a:ext cx="5772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4</xdr:row>
      <xdr:rowOff>238125</xdr:rowOff>
    </xdr:from>
    <xdr:to>
      <xdr:col>13</xdr:col>
      <xdr:colOff>38100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628650" y="1895475"/>
        <a:ext cx="57721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10</xdr:row>
      <xdr:rowOff>19050</xdr:rowOff>
    </xdr:from>
    <xdr:to>
      <xdr:col>9</xdr:col>
      <xdr:colOff>828675</xdr:colOff>
      <xdr:row>49</xdr:row>
      <xdr:rowOff>9525</xdr:rowOff>
    </xdr:to>
    <xdr:graphicFrame>
      <xdr:nvGraphicFramePr>
        <xdr:cNvPr id="1" name="Chart 2"/>
        <xdr:cNvGraphicFramePr/>
      </xdr:nvGraphicFramePr>
      <xdr:xfrm>
        <a:off x="571500" y="1943100"/>
        <a:ext cx="59436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10</xdr:row>
      <xdr:rowOff>381000</xdr:rowOff>
    </xdr:from>
    <xdr:to>
      <xdr:col>9</xdr:col>
      <xdr:colOff>314325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590550" y="2181225"/>
        <a:ext cx="58674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10</xdr:row>
      <xdr:rowOff>19050</xdr:rowOff>
    </xdr:from>
    <xdr:to>
      <xdr:col>9</xdr:col>
      <xdr:colOff>914400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542925" y="2581275"/>
        <a:ext cx="60579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29</xdr:row>
      <xdr:rowOff>142875</xdr:rowOff>
    </xdr:from>
    <xdr:to>
      <xdr:col>9</xdr:col>
      <xdr:colOff>923925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552450" y="6505575"/>
        <a:ext cx="60579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104775</xdr:rowOff>
    </xdr:from>
    <xdr:to>
      <xdr:col>9</xdr:col>
      <xdr:colOff>828675</xdr:colOff>
      <xdr:row>18</xdr:row>
      <xdr:rowOff>1314450</xdr:rowOff>
    </xdr:to>
    <xdr:graphicFrame>
      <xdr:nvGraphicFramePr>
        <xdr:cNvPr id="1" name="Chart 1"/>
        <xdr:cNvGraphicFramePr/>
      </xdr:nvGraphicFramePr>
      <xdr:xfrm>
        <a:off x="533400" y="5915025"/>
        <a:ext cx="59817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</xdr:row>
      <xdr:rowOff>285750</xdr:rowOff>
    </xdr:from>
    <xdr:to>
      <xdr:col>9</xdr:col>
      <xdr:colOff>809625</xdr:colOff>
      <xdr:row>11</xdr:row>
      <xdr:rowOff>171450</xdr:rowOff>
    </xdr:to>
    <xdr:graphicFrame>
      <xdr:nvGraphicFramePr>
        <xdr:cNvPr id="2" name="Chart 2"/>
        <xdr:cNvGraphicFramePr/>
      </xdr:nvGraphicFramePr>
      <xdr:xfrm>
        <a:off x="533400" y="1800225"/>
        <a:ext cx="59626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0.753</cdr:y>
    </cdr:from>
    <cdr:to>
      <cdr:x>0.15525</cdr:x>
      <cdr:y>0.79525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2781300"/>
          <a:ext cx="171450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0.041</cdr:x>
      <cdr:y>0.7845</cdr:y>
    </cdr:from>
    <cdr:to>
      <cdr:x>0.10075</cdr:x>
      <cdr:y>0.826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" y="2895600"/>
          <a:ext cx="3333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0.7845</cdr:y>
    </cdr:from>
    <cdr:to>
      <cdr:x>0.964</cdr:x>
      <cdr:y>0.84025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0" y="2895600"/>
          <a:ext cx="495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0.75</cdr:y>
    </cdr:from>
    <cdr:to>
      <cdr:x>0.87275</cdr:x>
      <cdr:y>0.79275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00" y="2771775"/>
          <a:ext cx="1714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0.0535</cdr:y>
    </cdr:from>
    <cdr:to>
      <cdr:x>0.127</cdr:x>
      <cdr:y>0.1025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381000"/>
          <a:ext cx="266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人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48</xdr:row>
      <xdr:rowOff>0</xdr:rowOff>
    </xdr:from>
    <xdr:to>
      <xdr:col>9</xdr:col>
      <xdr:colOff>695325</xdr:colOff>
      <xdr:row>59</xdr:row>
      <xdr:rowOff>200025</xdr:rowOff>
    </xdr:to>
    <xdr:graphicFrame>
      <xdr:nvGraphicFramePr>
        <xdr:cNvPr id="1" name="Chart 1"/>
        <xdr:cNvGraphicFramePr/>
      </xdr:nvGraphicFramePr>
      <xdr:xfrm>
        <a:off x="723900" y="6410325"/>
        <a:ext cx="56578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514350</xdr:colOff>
      <xdr:row>12</xdr:row>
      <xdr:rowOff>9525</xdr:rowOff>
    </xdr:from>
    <xdr:to>
      <xdr:col>9</xdr:col>
      <xdr:colOff>685800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714375" y="2647950"/>
        <a:ext cx="56578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44</xdr:row>
      <xdr:rowOff>9525</xdr:rowOff>
    </xdr:from>
    <xdr:to>
      <xdr:col>9</xdr:col>
      <xdr:colOff>962025</xdr:colOff>
      <xdr:row>58</xdr:row>
      <xdr:rowOff>180975</xdr:rowOff>
    </xdr:to>
    <xdr:graphicFrame>
      <xdr:nvGraphicFramePr>
        <xdr:cNvPr id="1" name="Chart 1"/>
        <xdr:cNvGraphicFramePr/>
      </xdr:nvGraphicFramePr>
      <xdr:xfrm>
        <a:off x="666750" y="5886450"/>
        <a:ext cx="59817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4</xdr:row>
      <xdr:rowOff>152400</xdr:rowOff>
    </xdr:from>
    <xdr:to>
      <xdr:col>9</xdr:col>
      <xdr:colOff>962025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666750" y="2047875"/>
        <a:ext cx="5981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257175</xdr:rowOff>
    </xdr:from>
    <xdr:to>
      <xdr:col>1</xdr:col>
      <xdr:colOff>6267450</xdr:colOff>
      <xdr:row>38</xdr:row>
      <xdr:rowOff>228600</xdr:rowOff>
    </xdr:to>
    <xdr:graphicFrame>
      <xdr:nvGraphicFramePr>
        <xdr:cNvPr id="1" name="Chart 1"/>
        <xdr:cNvGraphicFramePr/>
      </xdr:nvGraphicFramePr>
      <xdr:xfrm>
        <a:off x="762000" y="1628775"/>
        <a:ext cx="5705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43</xdr:row>
      <xdr:rowOff>247650</xdr:rowOff>
    </xdr:from>
    <xdr:to>
      <xdr:col>1</xdr:col>
      <xdr:colOff>6267450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781050" y="5905500"/>
        <a:ext cx="56864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8</xdr:row>
      <xdr:rowOff>9525</xdr:rowOff>
    </xdr:from>
    <xdr:to>
      <xdr:col>9</xdr:col>
      <xdr:colOff>295275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552450" y="2628900"/>
        <a:ext cx="57340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28</xdr:row>
      <xdr:rowOff>19050</xdr:rowOff>
    </xdr:from>
    <xdr:to>
      <xdr:col>9</xdr:col>
      <xdr:colOff>295275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552450" y="6810375"/>
        <a:ext cx="57340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18</xdr:row>
      <xdr:rowOff>38100</xdr:rowOff>
    </xdr:from>
    <xdr:to>
      <xdr:col>2</xdr:col>
      <xdr:colOff>419100</xdr:colOff>
      <xdr:row>19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74345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18</xdr:row>
      <xdr:rowOff>0</xdr:rowOff>
    </xdr:from>
    <xdr:to>
      <xdr:col>8</xdr:col>
      <xdr:colOff>352425</xdr:colOff>
      <xdr:row>18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47053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10</xdr:row>
      <xdr:rowOff>0</xdr:rowOff>
    </xdr:from>
    <xdr:to>
      <xdr:col>9</xdr:col>
      <xdr:colOff>285750</xdr:colOff>
      <xdr:row>26</xdr:row>
      <xdr:rowOff>200025</xdr:rowOff>
    </xdr:to>
    <xdr:graphicFrame>
      <xdr:nvGraphicFramePr>
        <xdr:cNvPr id="1" name="Chart 1"/>
        <xdr:cNvGraphicFramePr/>
      </xdr:nvGraphicFramePr>
      <xdr:xfrm>
        <a:off x="590550" y="2838450"/>
        <a:ext cx="56864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29</xdr:row>
      <xdr:rowOff>9525</xdr:rowOff>
    </xdr:from>
    <xdr:to>
      <xdr:col>9</xdr:col>
      <xdr:colOff>295275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581025" y="6810375"/>
        <a:ext cx="57054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152400</xdr:rowOff>
    </xdr:from>
    <xdr:to>
      <xdr:col>10</xdr:col>
      <xdr:colOff>352425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619125" y="2162175"/>
        <a:ext cx="58483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18</xdr:row>
      <xdr:rowOff>19050</xdr:rowOff>
    </xdr:from>
    <xdr:to>
      <xdr:col>9</xdr:col>
      <xdr:colOff>514350</xdr:colOff>
      <xdr:row>18</xdr:row>
      <xdr:rowOff>19050</xdr:rowOff>
    </xdr:to>
    <xdr:sp>
      <xdr:nvSpPr>
        <xdr:cNvPr id="2" name="Line 2"/>
        <xdr:cNvSpPr>
          <a:spLocks/>
        </xdr:cNvSpPr>
      </xdr:nvSpPr>
      <xdr:spPr>
        <a:xfrm>
          <a:off x="1447800" y="5391150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0.753</cdr:y>
    </cdr:from>
    <cdr:to>
      <cdr:x>0.1115</cdr:x>
      <cdr:y>0.79775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14350" y="3086100"/>
          <a:ext cx="123825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0.74775</cdr:y>
    </cdr:from>
    <cdr:to>
      <cdr:x>0.15575</cdr:x>
      <cdr:y>0.794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2876550"/>
          <a:ext cx="15240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</xdr:row>
      <xdr:rowOff>19050</xdr:rowOff>
    </xdr:from>
    <xdr:to>
      <xdr:col>8</xdr:col>
      <xdr:colOff>447675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609600" y="1895475"/>
        <a:ext cx="5772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25</xdr:row>
      <xdr:rowOff>28575</xdr:rowOff>
    </xdr:from>
    <xdr:to>
      <xdr:col>8</xdr:col>
      <xdr:colOff>447675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609600" y="6496050"/>
        <a:ext cx="57721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228600</xdr:colOff>
      <xdr:row>5</xdr:row>
      <xdr:rowOff>19050</xdr:rowOff>
    </xdr:from>
    <xdr:to>
      <xdr:col>2</xdr:col>
      <xdr:colOff>609600</xdr:colOff>
      <xdr:row>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7775" y="2305050"/>
          <a:ext cx="3810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%</a:t>
          </a:r>
        </a:p>
      </xdr:txBody>
    </xdr:sp>
    <xdr:clientData/>
  </xdr:twoCellAnchor>
  <xdr:twoCellAnchor>
    <xdr:from>
      <xdr:col>2</xdr:col>
      <xdr:colOff>314325</xdr:colOff>
      <xdr:row>26</xdr:row>
      <xdr:rowOff>114300</xdr:rowOff>
    </xdr:from>
    <xdr:to>
      <xdr:col>2</xdr:col>
      <xdr:colOff>695325</xdr:colOff>
      <xdr:row>27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33500" y="677227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%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41</xdr:row>
      <xdr:rowOff>57150</xdr:rowOff>
    </xdr:from>
    <xdr:to>
      <xdr:col>10</xdr:col>
      <xdr:colOff>276225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752475" y="6134100"/>
        <a:ext cx="57245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3</xdr:row>
      <xdr:rowOff>142875</xdr:rowOff>
    </xdr:from>
    <xdr:to>
      <xdr:col>10</xdr:col>
      <xdr:colOff>285750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752475" y="2257425"/>
        <a:ext cx="57340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14</xdr:row>
      <xdr:rowOff>95250</xdr:rowOff>
    </xdr:from>
    <xdr:to>
      <xdr:col>10</xdr:col>
      <xdr:colOff>352425</xdr:colOff>
      <xdr:row>27</xdr:row>
      <xdr:rowOff>228600</xdr:rowOff>
    </xdr:to>
    <xdr:graphicFrame>
      <xdr:nvGraphicFramePr>
        <xdr:cNvPr id="1" name="Chart 5"/>
        <xdr:cNvGraphicFramePr/>
      </xdr:nvGraphicFramePr>
      <xdr:xfrm>
        <a:off x="495300" y="5981700"/>
        <a:ext cx="6057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3</xdr:row>
      <xdr:rowOff>209550</xdr:rowOff>
    </xdr:from>
    <xdr:to>
      <xdr:col>10</xdr:col>
      <xdr:colOff>352425</xdr:colOff>
      <xdr:row>13</xdr:row>
      <xdr:rowOff>47625</xdr:rowOff>
    </xdr:to>
    <xdr:graphicFrame>
      <xdr:nvGraphicFramePr>
        <xdr:cNvPr id="2" name="Chart 6"/>
        <xdr:cNvGraphicFramePr/>
      </xdr:nvGraphicFramePr>
      <xdr:xfrm>
        <a:off x="504825" y="1676400"/>
        <a:ext cx="60483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495300</xdr:colOff>
      <xdr:row>26</xdr:row>
      <xdr:rowOff>180975</xdr:rowOff>
    </xdr:from>
    <xdr:to>
      <xdr:col>2</xdr:col>
      <xdr:colOff>247650</xdr:colOff>
      <xdr:row>27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695325" y="949642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371475</xdr:colOff>
      <xdr:row>26</xdr:row>
      <xdr:rowOff>104775</xdr:rowOff>
    </xdr:from>
    <xdr:to>
      <xdr:col>2</xdr:col>
      <xdr:colOff>542925</xdr:colOff>
      <xdr:row>26</xdr:row>
      <xdr:rowOff>247650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420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23</xdr:row>
      <xdr:rowOff>0</xdr:rowOff>
    </xdr:from>
    <xdr:to>
      <xdr:col>12</xdr:col>
      <xdr:colOff>428625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581025" y="6448425"/>
        <a:ext cx="58293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4</xdr:row>
      <xdr:rowOff>133350</xdr:rowOff>
    </xdr:from>
    <xdr:to>
      <xdr:col>12</xdr:col>
      <xdr:colOff>409575</xdr:colOff>
      <xdr:row>18</xdr:row>
      <xdr:rowOff>371475</xdr:rowOff>
    </xdr:to>
    <xdr:graphicFrame>
      <xdr:nvGraphicFramePr>
        <xdr:cNvPr id="2" name="Chart 2"/>
        <xdr:cNvGraphicFramePr/>
      </xdr:nvGraphicFramePr>
      <xdr:xfrm>
        <a:off x="542925" y="2438400"/>
        <a:ext cx="58483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3395;&#22577;\&#23395;&#22577;\97&#24180;&#23395;&#22577;\96-3&#23395;&#2257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hlin\Local%20Settings\Temporary%20Internet%20Files\Content.IE5\AQ6HHL4E\&#25353;&#36000;&#36012;&#20154;&#24615;&#21029;&#21450;&#32291;&#24066;&#21029;&#20998;09711(&#30334;&#33836;&#20803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&#20278;&#29664;\&#25351;&#27161;&#26376;&#22577;\97_3&#26376;&#22577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8\98&#24180;12&#26376;&#32113;&#35336;&#36895;&#22577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8&#24180;\12&#263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1&#26376;&#32113;&#35336;&#36895;&#2257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3&#26376;&#32113;&#35336;&#36895;&#2257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4&#26376;&#32113;&#35336;&#36895;&#2257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6&#26376;&#32113;&#35336;&#36895;&#2257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3395;&#22577;\&#23395;&#22577;\97&#24180;&#23395;&#22577;\95-1&#23395;&#2257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9&#26376;&#32113;&#35336;&#36895;&#2257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&#26356;&#26032;--&#23395;&#22577;98&#31532;4&#2339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9\99&#24180;12&#26376;&#32113;&#35336;&#36895;&#2257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9&#24180;\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Book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Documents%20and%20Settings\alan5921\&#26700;&#38754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Documents%20and%20Settings\hhlin\Local%20Settings\Temporary%20Internet%20Files\Content.IE5\AQ6HHL4E\&#25353;&#36000;&#36012;&#20154;&#24615;&#21029;&#21450;&#32291;&#24066;&#21029;&#20998;09711(&#30334;&#33836;&#20803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3395;&#22577;\&#26364;&#40599;\&#32113;&#35336;&#35506;\&#20278;&#29664;\&#25351;&#27161;&#26376;&#22577;\97_3&#26376;&#22577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32113;&#35336;&#36895;&#22577;\&#38617;&#35486;&#36895;&#22577;-98\98&#24180;9&#26376;&#32113;&#35336;&#36895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7231;&#21205;&#36554;&#36635;&#30331;&#35352;&#25976;\98&#24180;\9&#26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20132;&#36890;&#36039;&#26009;\&#21508;&#39006;&#20132;&#36890;&#20107;&#25925;&#32113;&#35336;&#34920;\98&#24180;1-12&#26376;&#21508;&#39006;&#20132;&#36890;&#20107;&#25925;&#32113;&#35336;&#34920;\98&#24180;1-12&#26376;&#21508;&#39006;&#20132;&#36890;&#20107;&#25925;&#32113;&#35336;&#34920;-&#20132;&#23433;&#32068;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5351;&#27161;&#26376;&#22577;\A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ok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lan5921\&#26700;&#38754;\&#34311;&#33538;&#21213;\&#23560;&#38988;&#20998;&#26512;\&#20061;&#21313;&#24180;&#33274;&#21335;&#32291;&#20154;&#21475;&#32080;&#27083;&#33287;&#29305;&#24615;&#20043;&#20998;&#26512;\&#20154;&#21475;&#34920;&#22294;9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 "/>
      <sheetName val="人口動態"/>
      <sheetName val="各鄉鎮土地人口概況"/>
      <sheetName val="各鄉鎮市人口消長"/>
      <sheetName val="勞動力與就業 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物價"/>
    </sheetNames>
    <sheetDataSet>
      <sheetData sheetId="11">
        <row r="32">
          <cell r="P32">
            <v>403472</v>
          </cell>
        </row>
        <row r="33">
          <cell r="P33">
            <v>405919</v>
          </cell>
        </row>
        <row r="34">
          <cell r="P34">
            <v>407191</v>
          </cell>
        </row>
        <row r="37">
          <cell r="P37">
            <v>409001</v>
          </cell>
        </row>
        <row r="38">
          <cell r="P38">
            <v>410144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16">
          <cell r="F116">
            <v>461625</v>
          </cell>
        </row>
      </sheetData>
      <sheetData sheetId="6">
        <row r="95">
          <cell r="C95">
            <v>446890</v>
          </cell>
          <cell r="D95">
            <v>13332</v>
          </cell>
          <cell r="E95">
            <v>396659</v>
          </cell>
          <cell r="F95">
            <v>4685</v>
          </cell>
          <cell r="G95">
            <v>14101</v>
          </cell>
          <cell r="H95">
            <v>11874</v>
          </cell>
          <cell r="I95">
            <v>4674</v>
          </cell>
          <cell r="J95">
            <v>1573</v>
          </cell>
          <cell r="K95">
            <v>-8</v>
          </cell>
        </row>
        <row r="96">
          <cell r="C96">
            <v>439701</v>
          </cell>
          <cell r="D96">
            <v>316607</v>
          </cell>
          <cell r="E96">
            <v>74421</v>
          </cell>
          <cell r="F96">
            <v>14551</v>
          </cell>
          <cell r="G96">
            <v>10873</v>
          </cell>
          <cell r="H96">
            <v>12624</v>
          </cell>
          <cell r="I96">
            <v>9169</v>
          </cell>
          <cell r="J96">
            <v>1456</v>
          </cell>
          <cell r="K96">
            <v>0</v>
          </cell>
        </row>
        <row r="97">
          <cell r="C97">
            <v>317437</v>
          </cell>
          <cell r="D97">
            <v>185288</v>
          </cell>
          <cell r="E97">
            <v>100742</v>
          </cell>
          <cell r="F97">
            <v>7353</v>
          </cell>
          <cell r="G97">
            <v>4706</v>
          </cell>
          <cell r="H97">
            <v>12294</v>
          </cell>
          <cell r="I97">
            <v>5407</v>
          </cell>
          <cell r="J97">
            <v>1647</v>
          </cell>
          <cell r="K97">
            <v>0</v>
          </cell>
        </row>
      </sheetData>
      <sheetData sheetId="8">
        <row r="93">
          <cell r="C93">
            <v>6</v>
          </cell>
          <cell r="F93">
            <v>7</v>
          </cell>
          <cell r="G93">
            <v>6</v>
          </cell>
          <cell r="H93">
            <v>1</v>
          </cell>
          <cell r="I93">
            <v>2</v>
          </cell>
          <cell r="J93">
            <v>0</v>
          </cell>
          <cell r="K93">
            <v>2</v>
          </cell>
          <cell r="L93">
            <v>2</v>
          </cell>
        </row>
        <row r="94">
          <cell r="C94">
            <v>5</v>
          </cell>
          <cell r="F94">
            <v>6</v>
          </cell>
          <cell r="G94">
            <v>5</v>
          </cell>
          <cell r="H94">
            <v>1</v>
          </cell>
          <cell r="I94">
            <v>1</v>
          </cell>
          <cell r="J94">
            <v>1</v>
          </cell>
          <cell r="K94">
            <v>2</v>
          </cell>
          <cell r="L94">
            <v>1</v>
          </cell>
        </row>
        <row r="95">
          <cell r="C95">
            <v>10</v>
          </cell>
          <cell r="F95">
            <v>11</v>
          </cell>
          <cell r="G95">
            <v>10</v>
          </cell>
          <cell r="H95">
            <v>1</v>
          </cell>
          <cell r="I95">
            <v>3</v>
          </cell>
          <cell r="J95">
            <v>0</v>
          </cell>
          <cell r="K95">
            <v>3</v>
          </cell>
          <cell r="L95">
            <v>4</v>
          </cell>
          <cell r="M95">
            <v>428423</v>
          </cell>
        </row>
      </sheetData>
      <sheetData sheetId="9">
        <row r="93">
          <cell r="C93">
            <v>1410</v>
          </cell>
          <cell r="D93">
            <v>6</v>
          </cell>
          <cell r="F93">
            <v>0</v>
          </cell>
          <cell r="G93">
            <v>0</v>
          </cell>
          <cell r="H93">
            <v>0</v>
          </cell>
          <cell r="I93">
            <v>1300</v>
          </cell>
        </row>
        <row r="94">
          <cell r="C94">
            <v>1433</v>
          </cell>
          <cell r="D94">
            <v>3</v>
          </cell>
          <cell r="F94">
            <v>0</v>
          </cell>
          <cell r="G94">
            <v>1</v>
          </cell>
          <cell r="H94">
            <v>1</v>
          </cell>
          <cell r="I94">
            <v>490</v>
          </cell>
        </row>
        <row r="95">
          <cell r="C95">
            <v>1500</v>
          </cell>
          <cell r="D95">
            <v>6</v>
          </cell>
          <cell r="F95">
            <v>0</v>
          </cell>
          <cell r="G95">
            <v>0</v>
          </cell>
          <cell r="H95">
            <v>2</v>
          </cell>
          <cell r="I95">
            <v>270</v>
          </cell>
        </row>
      </sheetData>
      <sheetData sheetId="10">
        <row r="92">
          <cell r="D92">
            <v>99</v>
          </cell>
          <cell r="E92">
            <v>54</v>
          </cell>
        </row>
        <row r="93">
          <cell r="D93">
            <v>92</v>
          </cell>
          <cell r="E93">
            <v>67</v>
          </cell>
        </row>
        <row r="94">
          <cell r="C94">
            <v>952</v>
          </cell>
          <cell r="D94">
            <v>100</v>
          </cell>
          <cell r="E94">
            <v>148</v>
          </cell>
          <cell r="F94">
            <v>21373</v>
          </cell>
          <cell r="G94">
            <v>4063453</v>
          </cell>
        </row>
      </sheetData>
      <sheetData sheetId="11">
        <row r="94">
          <cell r="C94">
            <v>28449</v>
          </cell>
          <cell r="D94">
            <v>8839</v>
          </cell>
          <cell r="E94">
            <v>5913</v>
          </cell>
          <cell r="F94">
            <v>547</v>
          </cell>
          <cell r="G94">
            <v>13150</v>
          </cell>
          <cell r="H94">
            <v>28449</v>
          </cell>
          <cell r="I94">
            <v>21023</v>
          </cell>
          <cell r="J94">
            <v>7426</v>
          </cell>
        </row>
        <row r="95">
          <cell r="C95">
            <v>33573</v>
          </cell>
          <cell r="D95">
            <v>1609</v>
          </cell>
          <cell r="E95">
            <v>1768</v>
          </cell>
          <cell r="F95">
            <v>176</v>
          </cell>
          <cell r="G95">
            <v>30020</v>
          </cell>
          <cell r="H95">
            <v>33573</v>
          </cell>
          <cell r="I95">
            <v>20151</v>
          </cell>
          <cell r="J95">
            <v>13422</v>
          </cell>
        </row>
        <row r="96">
          <cell r="C96">
            <v>85405</v>
          </cell>
          <cell r="D96">
            <v>3763</v>
          </cell>
          <cell r="E96">
            <v>51992</v>
          </cell>
          <cell r="F96">
            <v>310</v>
          </cell>
          <cell r="G96">
            <v>29340</v>
          </cell>
          <cell r="H96">
            <v>85405</v>
          </cell>
          <cell r="I96">
            <v>82381</v>
          </cell>
          <cell r="J96">
            <v>3024</v>
          </cell>
        </row>
      </sheetData>
      <sheetData sheetId="12">
        <row r="91">
          <cell r="B91">
            <v>202851</v>
          </cell>
          <cell r="C91">
            <v>24239</v>
          </cell>
          <cell r="D91">
            <v>983</v>
          </cell>
          <cell r="E91">
            <v>125014</v>
          </cell>
          <cell r="F91">
            <v>23915</v>
          </cell>
          <cell r="G91">
            <v>21160</v>
          </cell>
          <cell r="H91">
            <v>845</v>
          </cell>
          <cell r="I91">
            <v>2652</v>
          </cell>
          <cell r="J91">
            <v>4043</v>
          </cell>
        </row>
        <row r="92">
          <cell r="B92">
            <v>284129</v>
          </cell>
          <cell r="C92">
            <v>35580</v>
          </cell>
          <cell r="D92">
            <v>996</v>
          </cell>
          <cell r="E92">
            <v>172050</v>
          </cell>
          <cell r="F92">
            <v>34907</v>
          </cell>
          <cell r="G92">
            <v>32312</v>
          </cell>
          <cell r="H92">
            <v>745</v>
          </cell>
          <cell r="I92">
            <v>2445</v>
          </cell>
          <cell r="J92">
            <v>5094</v>
          </cell>
        </row>
        <row r="93">
          <cell r="B93">
            <v>228181</v>
          </cell>
          <cell r="C93">
            <v>31557</v>
          </cell>
          <cell r="D93">
            <v>981</v>
          </cell>
          <cell r="E93">
            <v>129664</v>
          </cell>
          <cell r="F93">
            <v>37061</v>
          </cell>
          <cell r="G93">
            <v>24841</v>
          </cell>
          <cell r="H93">
            <v>271</v>
          </cell>
          <cell r="I93">
            <v>1489</v>
          </cell>
          <cell r="J93">
            <v>2317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428423</v>
          </cell>
          <cell r="D13">
            <v>189</v>
          </cell>
          <cell r="E13">
            <v>35</v>
          </cell>
          <cell r="F13">
            <v>154</v>
          </cell>
          <cell r="G13">
            <v>4398</v>
          </cell>
          <cell r="H13">
            <v>2270</v>
          </cell>
          <cell r="I13">
            <v>2128</v>
          </cell>
          <cell r="J13">
            <v>111717</v>
          </cell>
          <cell r="K13">
            <v>110637</v>
          </cell>
          <cell r="L13">
            <v>1080</v>
          </cell>
          <cell r="N13">
            <v>18103</v>
          </cell>
          <cell r="O13">
            <v>18025</v>
          </cell>
          <cell r="P13">
            <v>78</v>
          </cell>
          <cell r="Q13">
            <v>1137</v>
          </cell>
          <cell r="R13">
            <v>292879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7">
        <row r="21">
          <cell r="S21">
            <v>461182</v>
          </cell>
        </row>
        <row r="24">
          <cell r="S24">
            <v>461053</v>
          </cell>
        </row>
        <row r="25">
          <cell r="H25">
            <v>3</v>
          </cell>
          <cell r="K25">
            <v>143</v>
          </cell>
          <cell r="L25">
            <v>102</v>
          </cell>
        </row>
        <row r="26">
          <cell r="H26">
            <v>3</v>
          </cell>
          <cell r="K26">
            <v>146</v>
          </cell>
          <cell r="L26">
            <v>68</v>
          </cell>
        </row>
        <row r="27">
          <cell r="H27">
            <v>5</v>
          </cell>
          <cell r="K27">
            <v>179</v>
          </cell>
          <cell r="L27">
            <v>73</v>
          </cell>
          <cell r="S27">
            <v>461414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0">
          <cell r="F120">
            <v>461783</v>
          </cell>
        </row>
      </sheetData>
      <sheetData sheetId="6">
        <row r="99">
          <cell r="C99">
            <v>199893</v>
          </cell>
          <cell r="D99">
            <v>19645</v>
          </cell>
          <cell r="E99">
            <v>134829</v>
          </cell>
          <cell r="F99">
            <v>2969</v>
          </cell>
          <cell r="G99">
            <v>14062</v>
          </cell>
          <cell r="H99">
            <v>17067</v>
          </cell>
          <cell r="I99">
            <v>9813</v>
          </cell>
          <cell r="J99">
            <v>1508</v>
          </cell>
          <cell r="K99">
            <v>0</v>
          </cell>
        </row>
        <row r="100">
          <cell r="C100">
            <v>104867</v>
          </cell>
          <cell r="D100">
            <v>2108</v>
          </cell>
          <cell r="E100">
            <v>75993</v>
          </cell>
          <cell r="F100">
            <v>1735</v>
          </cell>
          <cell r="G100">
            <v>11634</v>
          </cell>
          <cell r="H100">
            <v>8073</v>
          </cell>
          <cell r="I100">
            <v>3869</v>
          </cell>
          <cell r="J100">
            <v>1455</v>
          </cell>
          <cell r="K100">
            <v>0</v>
          </cell>
        </row>
        <row r="101">
          <cell r="C101">
            <v>184680</v>
          </cell>
          <cell r="D101">
            <v>7935</v>
          </cell>
          <cell r="E101">
            <v>91991</v>
          </cell>
          <cell r="F101">
            <v>4480</v>
          </cell>
          <cell r="G101">
            <v>56387</v>
          </cell>
          <cell r="H101">
            <v>13841</v>
          </cell>
          <cell r="I101">
            <v>8441</v>
          </cell>
          <cell r="J101">
            <v>1607</v>
          </cell>
          <cell r="K101">
            <v>-2</v>
          </cell>
        </row>
      </sheetData>
      <sheetData sheetId="8">
        <row r="97">
          <cell r="C97">
            <v>5</v>
          </cell>
          <cell r="F97">
            <v>5</v>
          </cell>
          <cell r="G97">
            <v>5</v>
          </cell>
          <cell r="H97">
            <v>0</v>
          </cell>
          <cell r="I97">
            <v>1</v>
          </cell>
          <cell r="J97">
            <v>1</v>
          </cell>
          <cell r="K97">
            <v>0</v>
          </cell>
          <cell r="L97">
            <v>3</v>
          </cell>
        </row>
        <row r="98">
          <cell r="C98">
            <v>3</v>
          </cell>
          <cell r="F98">
            <v>3</v>
          </cell>
          <cell r="G98">
            <v>3</v>
          </cell>
          <cell r="H98">
            <v>0</v>
          </cell>
          <cell r="I98">
            <v>2</v>
          </cell>
          <cell r="J98">
            <v>0</v>
          </cell>
          <cell r="K98">
            <v>0</v>
          </cell>
          <cell r="L98">
            <v>1</v>
          </cell>
        </row>
        <row r="99">
          <cell r="C99">
            <v>9</v>
          </cell>
          <cell r="F99">
            <v>14</v>
          </cell>
          <cell r="G99">
            <v>9</v>
          </cell>
          <cell r="H99">
            <v>5</v>
          </cell>
          <cell r="I99">
            <v>1</v>
          </cell>
          <cell r="J99">
            <v>0</v>
          </cell>
          <cell r="K99">
            <v>1</v>
          </cell>
          <cell r="L99">
            <v>7</v>
          </cell>
          <cell r="M99">
            <v>427828</v>
          </cell>
        </row>
      </sheetData>
      <sheetData sheetId="9">
        <row r="97">
          <cell r="C97">
            <v>1667</v>
          </cell>
          <cell r="D97">
            <v>8</v>
          </cell>
          <cell r="F97">
            <v>0</v>
          </cell>
          <cell r="G97">
            <v>0</v>
          </cell>
          <cell r="H97">
            <v>0</v>
          </cell>
          <cell r="I97">
            <v>77</v>
          </cell>
        </row>
        <row r="98">
          <cell r="C98">
            <v>1525</v>
          </cell>
          <cell r="D98">
            <v>10</v>
          </cell>
          <cell r="F98">
            <v>0</v>
          </cell>
          <cell r="G98">
            <v>0</v>
          </cell>
          <cell r="H98">
            <v>0</v>
          </cell>
          <cell r="I98">
            <v>1203</v>
          </cell>
        </row>
        <row r="99">
          <cell r="C99">
            <v>1557</v>
          </cell>
          <cell r="D99">
            <v>8</v>
          </cell>
          <cell r="F99">
            <v>0</v>
          </cell>
          <cell r="G99">
            <v>0</v>
          </cell>
          <cell r="H99">
            <v>0</v>
          </cell>
          <cell r="I99">
            <v>350</v>
          </cell>
        </row>
      </sheetData>
      <sheetData sheetId="10">
        <row r="96">
          <cell r="D96">
            <v>106</v>
          </cell>
          <cell r="E96">
            <v>103</v>
          </cell>
        </row>
        <row r="97">
          <cell r="D97">
            <v>62</v>
          </cell>
          <cell r="E97">
            <v>41</v>
          </cell>
        </row>
        <row r="98">
          <cell r="C98">
            <v>908</v>
          </cell>
          <cell r="D98">
            <v>119</v>
          </cell>
          <cell r="E98">
            <v>88</v>
          </cell>
          <cell r="F98">
            <v>21431</v>
          </cell>
          <cell r="G98">
            <v>4093109</v>
          </cell>
        </row>
      </sheetData>
      <sheetData sheetId="11">
        <row r="98">
          <cell r="C98">
            <v>15626</v>
          </cell>
          <cell r="D98">
            <v>6973</v>
          </cell>
          <cell r="E98">
            <v>4253</v>
          </cell>
          <cell r="F98">
            <v>0</v>
          </cell>
          <cell r="G98">
            <v>4400</v>
          </cell>
          <cell r="H98">
            <v>15626</v>
          </cell>
          <cell r="I98">
            <v>13580</v>
          </cell>
          <cell r="J98">
            <v>2046</v>
          </cell>
        </row>
        <row r="99">
          <cell r="C99">
            <v>28268</v>
          </cell>
          <cell r="D99">
            <v>7758</v>
          </cell>
          <cell r="E99">
            <v>2897</v>
          </cell>
          <cell r="F99">
            <v>0</v>
          </cell>
          <cell r="G99">
            <v>17613</v>
          </cell>
          <cell r="H99">
            <v>28268</v>
          </cell>
          <cell r="I99">
            <v>24958</v>
          </cell>
          <cell r="J99">
            <v>3310</v>
          </cell>
        </row>
        <row r="100">
          <cell r="C100">
            <v>35440</v>
          </cell>
          <cell r="D100">
            <v>6666</v>
          </cell>
          <cell r="E100">
            <v>16836</v>
          </cell>
          <cell r="F100">
            <v>0</v>
          </cell>
          <cell r="G100">
            <v>11938</v>
          </cell>
          <cell r="H100">
            <v>35440</v>
          </cell>
          <cell r="I100">
            <v>14787</v>
          </cell>
          <cell r="J100">
            <v>20653</v>
          </cell>
        </row>
      </sheetData>
      <sheetData sheetId="12">
        <row r="95">
          <cell r="B95">
            <v>263085</v>
          </cell>
          <cell r="C95">
            <v>37032</v>
          </cell>
          <cell r="D95">
            <v>702</v>
          </cell>
          <cell r="E95">
            <v>163241</v>
          </cell>
          <cell r="F95">
            <v>40330</v>
          </cell>
          <cell r="G95">
            <v>17415</v>
          </cell>
          <cell r="H95">
            <v>289</v>
          </cell>
          <cell r="I95">
            <v>1255</v>
          </cell>
          <cell r="J95">
            <v>2821</v>
          </cell>
        </row>
        <row r="96">
          <cell r="B96">
            <v>355465</v>
          </cell>
          <cell r="C96">
            <v>55728</v>
          </cell>
          <cell r="D96">
            <v>1600</v>
          </cell>
          <cell r="E96">
            <v>226841</v>
          </cell>
          <cell r="F96">
            <v>47878</v>
          </cell>
          <cell r="G96">
            <v>15859</v>
          </cell>
          <cell r="H96">
            <v>343</v>
          </cell>
          <cell r="I96">
            <v>2004</v>
          </cell>
          <cell r="J96">
            <v>5212</v>
          </cell>
        </row>
        <row r="97">
          <cell r="B97">
            <v>280300</v>
          </cell>
          <cell r="C97">
            <v>35464</v>
          </cell>
          <cell r="D97">
            <v>1150</v>
          </cell>
          <cell r="E97">
            <v>151435</v>
          </cell>
          <cell r="F97">
            <v>38572</v>
          </cell>
          <cell r="G97">
            <v>24971</v>
          </cell>
          <cell r="H97">
            <v>265</v>
          </cell>
          <cell r="I97">
            <v>2794</v>
          </cell>
          <cell r="J97">
            <v>25649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427828</v>
          </cell>
          <cell r="D13">
            <v>197</v>
          </cell>
          <cell r="E13">
            <v>35</v>
          </cell>
          <cell r="F13">
            <v>162</v>
          </cell>
          <cell r="G13">
            <v>4289</v>
          </cell>
          <cell r="H13">
            <v>2251</v>
          </cell>
          <cell r="I13">
            <v>2038</v>
          </cell>
          <cell r="J13">
            <v>111995</v>
          </cell>
          <cell r="K13">
            <v>110915</v>
          </cell>
          <cell r="L13">
            <v>1080</v>
          </cell>
          <cell r="N13">
            <v>18088</v>
          </cell>
          <cell r="O13">
            <v>18027</v>
          </cell>
          <cell r="P13">
            <v>61</v>
          </cell>
          <cell r="Q13">
            <v>1146</v>
          </cell>
          <cell r="R13">
            <v>292113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0">
          <cell r="F120">
            <v>461783</v>
          </cell>
        </row>
      </sheetData>
      <sheetData sheetId="7">
        <row r="29">
          <cell r="C29">
            <v>397</v>
          </cell>
          <cell r="D29">
            <v>264.9975</v>
          </cell>
          <cell r="G29">
            <v>5</v>
          </cell>
          <cell r="H29">
            <v>6</v>
          </cell>
          <cell r="K29">
            <v>133</v>
          </cell>
          <cell r="L29">
            <v>46</v>
          </cell>
          <cell r="O29">
            <v>259</v>
          </cell>
          <cell r="P29">
            <v>212.9975</v>
          </cell>
        </row>
        <row r="30">
          <cell r="C30">
            <v>627</v>
          </cell>
          <cell r="D30">
            <v>675.0282</v>
          </cell>
          <cell r="G30">
            <v>5</v>
          </cell>
          <cell r="H30">
            <v>5</v>
          </cell>
          <cell r="K30">
            <v>246</v>
          </cell>
          <cell r="L30">
            <v>301</v>
          </cell>
          <cell r="O30">
            <v>376</v>
          </cell>
          <cell r="P30">
            <v>369.02819999999997</v>
          </cell>
        </row>
        <row r="31">
          <cell r="C31">
            <v>493</v>
          </cell>
          <cell r="D31">
            <v>341.99410000000006</v>
          </cell>
          <cell r="G31">
            <v>8</v>
          </cell>
          <cell r="H31">
            <v>7</v>
          </cell>
          <cell r="K31">
            <v>164</v>
          </cell>
          <cell r="L31">
            <v>60</v>
          </cell>
          <cell r="O31">
            <v>321</v>
          </cell>
          <cell r="P31">
            <v>274.99410000000006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3">
          <cell r="F123">
            <v>460604</v>
          </cell>
        </row>
      </sheetData>
      <sheetData sheetId="6">
        <row r="102">
          <cell r="C102">
            <v>835768</v>
          </cell>
          <cell r="D102">
            <v>2876</v>
          </cell>
          <cell r="E102">
            <v>165304</v>
          </cell>
          <cell r="F102">
            <v>20193</v>
          </cell>
          <cell r="G102">
            <v>627409</v>
          </cell>
          <cell r="H102">
            <v>13224</v>
          </cell>
          <cell r="I102">
            <v>5152</v>
          </cell>
          <cell r="J102">
            <v>1610</v>
          </cell>
          <cell r="K102">
            <v>0</v>
          </cell>
        </row>
        <row r="103">
          <cell r="C103">
            <v>915038</v>
          </cell>
          <cell r="D103">
            <v>3083</v>
          </cell>
          <cell r="E103">
            <v>137303</v>
          </cell>
          <cell r="F103">
            <v>550797</v>
          </cell>
          <cell r="G103">
            <v>196894</v>
          </cell>
          <cell r="H103">
            <v>12829</v>
          </cell>
          <cell r="I103">
            <v>12524</v>
          </cell>
          <cell r="J103">
            <v>1613</v>
          </cell>
          <cell r="K103">
            <v>-5</v>
          </cell>
        </row>
        <row r="104">
          <cell r="C104">
            <v>408978</v>
          </cell>
          <cell r="D104">
            <v>2207</v>
          </cell>
          <cell r="E104">
            <v>130104</v>
          </cell>
          <cell r="F104">
            <v>235466</v>
          </cell>
          <cell r="G104">
            <v>15174</v>
          </cell>
          <cell r="H104">
            <v>18666</v>
          </cell>
          <cell r="I104">
            <v>5910</v>
          </cell>
          <cell r="J104">
            <v>1456</v>
          </cell>
          <cell r="K104">
            <v>-5</v>
          </cell>
        </row>
      </sheetData>
      <sheetData sheetId="7">
        <row r="32">
          <cell r="C32">
            <v>442</v>
          </cell>
          <cell r="D32">
            <v>376.00939999999997</v>
          </cell>
          <cell r="G32">
            <v>2</v>
          </cell>
          <cell r="H32">
            <v>3</v>
          </cell>
          <cell r="K32">
            <v>137</v>
          </cell>
          <cell r="L32">
            <v>83</v>
          </cell>
          <cell r="O32">
            <v>303</v>
          </cell>
          <cell r="P32">
            <v>290.00939999999997</v>
          </cell>
        </row>
        <row r="33">
          <cell r="C33">
            <v>509</v>
          </cell>
          <cell r="D33">
            <v>399.0051</v>
          </cell>
          <cell r="G33">
            <v>5</v>
          </cell>
          <cell r="H33">
            <v>4</v>
          </cell>
          <cell r="K33">
            <v>168</v>
          </cell>
          <cell r="L33">
            <v>85</v>
          </cell>
          <cell r="O33">
            <v>336</v>
          </cell>
          <cell r="P33">
            <v>310.0051</v>
          </cell>
        </row>
        <row r="34">
          <cell r="C34">
            <v>488</v>
          </cell>
          <cell r="D34">
            <v>349.9936</v>
          </cell>
          <cell r="G34">
            <v>3</v>
          </cell>
          <cell r="H34">
            <v>3</v>
          </cell>
          <cell r="K34">
            <v>182</v>
          </cell>
          <cell r="L34">
            <v>85</v>
          </cell>
          <cell r="O34">
            <v>303</v>
          </cell>
          <cell r="P34">
            <v>261.9936</v>
          </cell>
        </row>
      </sheetData>
      <sheetData sheetId="8">
        <row r="100">
          <cell r="C100">
            <v>2</v>
          </cell>
          <cell r="F100">
            <v>3</v>
          </cell>
          <cell r="G100">
            <v>2</v>
          </cell>
          <cell r="H100">
            <v>1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</row>
        <row r="101">
          <cell r="C101">
            <v>5</v>
          </cell>
          <cell r="F101">
            <v>10</v>
          </cell>
          <cell r="G101">
            <v>5</v>
          </cell>
          <cell r="H101">
            <v>5</v>
          </cell>
          <cell r="I101">
            <v>0</v>
          </cell>
          <cell r="J101">
            <v>0</v>
          </cell>
          <cell r="K101">
            <v>1</v>
          </cell>
          <cell r="L101">
            <v>4</v>
          </cell>
        </row>
        <row r="102">
          <cell r="C102">
            <v>4</v>
          </cell>
          <cell r="F102">
            <v>5</v>
          </cell>
          <cell r="G102">
            <v>4</v>
          </cell>
          <cell r="H102">
            <v>1</v>
          </cell>
          <cell r="I102">
            <v>1</v>
          </cell>
          <cell r="J102">
            <v>0</v>
          </cell>
          <cell r="K102">
            <v>1</v>
          </cell>
          <cell r="L102">
            <v>2</v>
          </cell>
          <cell r="M102">
            <v>428642</v>
          </cell>
        </row>
      </sheetData>
      <sheetData sheetId="9">
        <row r="100">
          <cell r="C100">
            <v>1531</v>
          </cell>
          <cell r="D100">
            <v>5</v>
          </cell>
          <cell r="F100">
            <v>0</v>
          </cell>
          <cell r="G100">
            <v>0</v>
          </cell>
          <cell r="H100">
            <v>0</v>
          </cell>
          <cell r="I100">
            <v>235</v>
          </cell>
        </row>
        <row r="101">
          <cell r="C101">
            <v>1612</v>
          </cell>
          <cell r="D101">
            <v>3</v>
          </cell>
          <cell r="F101">
            <v>0</v>
          </cell>
          <cell r="G101">
            <v>0</v>
          </cell>
          <cell r="H101">
            <v>0</v>
          </cell>
          <cell r="I101">
            <v>20</v>
          </cell>
        </row>
        <row r="102">
          <cell r="C102">
            <v>1511</v>
          </cell>
          <cell r="D102">
            <v>1</v>
          </cell>
          <cell r="F102">
            <v>1</v>
          </cell>
          <cell r="G102">
            <v>0</v>
          </cell>
          <cell r="H102">
            <v>0</v>
          </cell>
          <cell r="I102">
            <v>2000</v>
          </cell>
        </row>
      </sheetData>
      <sheetData sheetId="10">
        <row r="99">
          <cell r="D99">
            <v>62</v>
          </cell>
          <cell r="E99">
            <v>58</v>
          </cell>
        </row>
        <row r="100">
          <cell r="D100">
            <v>137</v>
          </cell>
          <cell r="E100">
            <v>78</v>
          </cell>
        </row>
        <row r="101">
          <cell r="C101">
            <v>916</v>
          </cell>
          <cell r="D101">
            <v>109</v>
          </cell>
          <cell r="E101">
            <v>71</v>
          </cell>
          <cell r="F101">
            <v>21558</v>
          </cell>
          <cell r="G101">
            <v>4115503</v>
          </cell>
        </row>
      </sheetData>
      <sheetData sheetId="11">
        <row r="101">
          <cell r="C101">
            <v>37700</v>
          </cell>
          <cell r="D101">
            <v>5612</v>
          </cell>
          <cell r="E101">
            <v>18105</v>
          </cell>
          <cell r="F101">
            <v>1655</v>
          </cell>
          <cell r="G101">
            <v>12328</v>
          </cell>
          <cell r="H101">
            <v>37700</v>
          </cell>
          <cell r="I101">
            <v>33709</v>
          </cell>
          <cell r="J101">
            <v>3991</v>
          </cell>
        </row>
        <row r="102">
          <cell r="C102">
            <v>60794</v>
          </cell>
          <cell r="D102">
            <v>8484</v>
          </cell>
          <cell r="E102">
            <v>8244</v>
          </cell>
          <cell r="F102">
            <v>458</v>
          </cell>
          <cell r="G102">
            <v>43608</v>
          </cell>
          <cell r="H102">
            <v>60794</v>
          </cell>
          <cell r="I102">
            <v>56543</v>
          </cell>
          <cell r="J102">
            <v>4251</v>
          </cell>
        </row>
        <row r="103">
          <cell r="C103">
            <v>31449</v>
          </cell>
          <cell r="D103">
            <v>3209</v>
          </cell>
          <cell r="E103">
            <v>15208</v>
          </cell>
          <cell r="F103">
            <v>44</v>
          </cell>
          <cell r="G103">
            <v>12988</v>
          </cell>
          <cell r="H103">
            <v>31449</v>
          </cell>
          <cell r="I103">
            <v>28129</v>
          </cell>
          <cell r="J103">
            <v>3320</v>
          </cell>
        </row>
      </sheetData>
      <sheetData sheetId="12">
        <row r="98">
          <cell r="B98">
            <v>448177</v>
          </cell>
          <cell r="C98">
            <v>43431</v>
          </cell>
          <cell r="D98">
            <v>2500</v>
          </cell>
          <cell r="E98">
            <v>140146</v>
          </cell>
          <cell r="F98">
            <v>44349</v>
          </cell>
          <cell r="G98">
            <v>28778</v>
          </cell>
          <cell r="H98">
            <v>260</v>
          </cell>
          <cell r="I98">
            <v>2332</v>
          </cell>
          <cell r="J98">
            <v>186381</v>
          </cell>
        </row>
        <row r="99">
          <cell r="B99">
            <v>406878</v>
          </cell>
          <cell r="C99">
            <v>46450</v>
          </cell>
          <cell r="D99">
            <v>3000</v>
          </cell>
          <cell r="E99">
            <v>200253</v>
          </cell>
          <cell r="F99">
            <v>45842</v>
          </cell>
          <cell r="G99">
            <v>32005</v>
          </cell>
          <cell r="H99">
            <v>1347</v>
          </cell>
          <cell r="I99">
            <v>2411</v>
          </cell>
          <cell r="J99">
            <v>75570</v>
          </cell>
        </row>
        <row r="100">
          <cell r="B100">
            <v>252582</v>
          </cell>
          <cell r="C100">
            <v>43169</v>
          </cell>
          <cell r="D100">
            <v>2800</v>
          </cell>
          <cell r="E100">
            <v>136856</v>
          </cell>
          <cell r="F100">
            <v>38706</v>
          </cell>
          <cell r="G100">
            <v>20298</v>
          </cell>
          <cell r="H100">
            <v>1337</v>
          </cell>
          <cell r="I100">
            <v>2314</v>
          </cell>
          <cell r="J100">
            <v>7102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428642</v>
          </cell>
          <cell r="D13">
            <v>195</v>
          </cell>
          <cell r="E13">
            <v>35</v>
          </cell>
          <cell r="F13">
            <v>160</v>
          </cell>
          <cell r="G13">
            <v>4321</v>
          </cell>
          <cell r="H13">
            <v>2261</v>
          </cell>
          <cell r="I13">
            <v>2060</v>
          </cell>
          <cell r="J13">
            <v>112329</v>
          </cell>
          <cell r="K13">
            <v>111250</v>
          </cell>
          <cell r="L13">
            <v>1079</v>
          </cell>
          <cell r="N13">
            <v>18118</v>
          </cell>
          <cell r="O13">
            <v>18059</v>
          </cell>
          <cell r="P13">
            <v>59</v>
          </cell>
          <cell r="Q13">
            <v>1145</v>
          </cell>
          <cell r="R13">
            <v>292534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土地人口概況"/>
      <sheetName val="人口動態"/>
      <sheetName val="各鄉鎮土地人口概況"/>
      <sheetName val="各鄉鎮市人口消長"/>
      <sheetName val="勞動力與就業"/>
      <sheetName val="稅捐徵收"/>
      <sheetName val="環境保護"/>
      <sheetName val="社會福利"/>
      <sheetName val="衛生醫療"/>
      <sheetName val="保安防衛"/>
      <sheetName val="機動車輛"/>
      <sheetName val="交通事故"/>
      <sheetName val="火災防護"/>
      <sheetName val="歲出預算執行情形"/>
      <sheetName val="歲入預算執行情形"/>
      <sheetName val="工商行業"/>
      <sheetName val="總樓板面積"/>
      <sheetName val="觀光遊憩區遊客人次"/>
      <sheetName val="漁業"/>
      <sheetName val="教育"/>
      <sheetName val="價物"/>
    </sheetNames>
    <sheetDataSet>
      <sheetData sheetId="11">
        <row r="5">
          <cell r="P5">
            <v>295829</v>
          </cell>
        </row>
        <row r="6">
          <cell r="P6">
            <v>314674</v>
          </cell>
        </row>
        <row r="8">
          <cell r="P8">
            <v>332425</v>
          </cell>
        </row>
        <row r="9">
          <cell r="P9">
            <v>339763</v>
          </cell>
        </row>
        <row r="10">
          <cell r="P10">
            <v>348663</v>
          </cell>
        </row>
        <row r="11">
          <cell r="P11">
            <v>356904</v>
          </cell>
        </row>
        <row r="12">
          <cell r="P12">
            <v>362009</v>
          </cell>
        </row>
        <row r="14">
          <cell r="P14">
            <v>369117</v>
          </cell>
        </row>
        <row r="15">
          <cell r="P15">
            <v>378520</v>
          </cell>
        </row>
        <row r="16">
          <cell r="P16">
            <v>370944</v>
          </cell>
        </row>
        <row r="17">
          <cell r="P17">
            <v>372826</v>
          </cell>
        </row>
        <row r="18">
          <cell r="P18">
            <v>376633</v>
          </cell>
        </row>
        <row r="19">
          <cell r="P19">
            <v>378520</v>
          </cell>
        </row>
        <row r="20">
          <cell r="P20">
            <v>388870</v>
          </cell>
        </row>
        <row r="21">
          <cell r="P21">
            <v>380523</v>
          </cell>
        </row>
        <row r="22">
          <cell r="P22">
            <v>384021</v>
          </cell>
        </row>
        <row r="23">
          <cell r="P23">
            <v>387108</v>
          </cell>
        </row>
        <row r="24">
          <cell r="P24">
            <v>388870</v>
          </cell>
        </row>
        <row r="25">
          <cell r="P25">
            <v>399702</v>
          </cell>
        </row>
        <row r="26">
          <cell r="P26">
            <v>391840</v>
          </cell>
        </row>
        <row r="27">
          <cell r="P27">
            <v>394694</v>
          </cell>
        </row>
        <row r="28">
          <cell r="P28">
            <v>398189</v>
          </cell>
        </row>
        <row r="29">
          <cell r="P29">
            <v>399702</v>
          </cell>
        </row>
        <row r="31">
          <cell r="P31">
            <v>402114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6">
          <cell r="F126">
            <v>460679</v>
          </cell>
        </row>
      </sheetData>
      <sheetData sheetId="6">
        <row r="105">
          <cell r="C105">
            <v>141741</v>
          </cell>
          <cell r="D105">
            <v>1881</v>
          </cell>
          <cell r="E105">
            <v>100079</v>
          </cell>
          <cell r="F105">
            <v>4553</v>
          </cell>
          <cell r="G105">
            <v>9114</v>
          </cell>
          <cell r="H105">
            <v>13117</v>
          </cell>
          <cell r="I105">
            <v>11068</v>
          </cell>
          <cell r="J105">
            <v>1929</v>
          </cell>
          <cell r="K105">
            <v>0</v>
          </cell>
        </row>
        <row r="106">
          <cell r="C106">
            <v>145315</v>
          </cell>
          <cell r="D106">
            <v>2823</v>
          </cell>
          <cell r="E106">
            <v>104158</v>
          </cell>
          <cell r="F106">
            <v>9092</v>
          </cell>
          <cell r="G106">
            <v>7733</v>
          </cell>
          <cell r="H106">
            <v>12871</v>
          </cell>
          <cell r="I106">
            <v>6852</v>
          </cell>
          <cell r="J106">
            <v>1786</v>
          </cell>
          <cell r="K106">
            <v>0</v>
          </cell>
        </row>
        <row r="107">
          <cell r="C107">
            <v>193121</v>
          </cell>
          <cell r="D107">
            <v>1179</v>
          </cell>
          <cell r="E107">
            <v>151695</v>
          </cell>
          <cell r="F107">
            <v>8512</v>
          </cell>
          <cell r="G107">
            <v>5621</v>
          </cell>
          <cell r="H107">
            <v>13654</v>
          </cell>
          <cell r="I107">
            <v>10366</v>
          </cell>
          <cell r="J107">
            <v>2101</v>
          </cell>
          <cell r="K107">
            <v>-7</v>
          </cell>
        </row>
      </sheetData>
      <sheetData sheetId="7">
        <row r="35">
          <cell r="C35">
            <v>514</v>
          </cell>
          <cell r="D35">
            <v>379</v>
          </cell>
          <cell r="G35">
            <v>9</v>
          </cell>
          <cell r="H35">
            <v>5</v>
          </cell>
          <cell r="K35">
            <v>178</v>
          </cell>
          <cell r="L35">
            <v>91</v>
          </cell>
          <cell r="O35">
            <v>327</v>
          </cell>
          <cell r="P35">
            <v>283</v>
          </cell>
        </row>
        <row r="36">
          <cell r="C36">
            <v>482</v>
          </cell>
          <cell r="D36">
            <v>400</v>
          </cell>
          <cell r="G36">
            <v>5</v>
          </cell>
          <cell r="H36">
            <v>7</v>
          </cell>
          <cell r="K36">
            <v>151</v>
          </cell>
          <cell r="L36">
            <v>85</v>
          </cell>
          <cell r="O36">
            <v>326</v>
          </cell>
          <cell r="P36">
            <v>308</v>
          </cell>
        </row>
        <row r="37">
          <cell r="C37">
            <v>455</v>
          </cell>
          <cell r="D37">
            <v>329</v>
          </cell>
          <cell r="G37">
            <v>5</v>
          </cell>
          <cell r="H37">
            <v>6</v>
          </cell>
          <cell r="K37">
            <v>167</v>
          </cell>
          <cell r="L37">
            <v>91</v>
          </cell>
          <cell r="O37">
            <v>283</v>
          </cell>
          <cell r="P37">
            <v>232</v>
          </cell>
        </row>
      </sheetData>
      <sheetData sheetId="8">
        <row r="103">
          <cell r="F103">
            <v>11</v>
          </cell>
          <cell r="G103">
            <v>8</v>
          </cell>
          <cell r="H103">
            <v>3</v>
          </cell>
          <cell r="I103">
            <v>1</v>
          </cell>
          <cell r="J103">
            <v>0</v>
          </cell>
          <cell r="K103">
            <v>0</v>
          </cell>
          <cell r="L103">
            <v>7</v>
          </cell>
        </row>
        <row r="104">
          <cell r="F104">
            <v>6</v>
          </cell>
          <cell r="G104">
            <v>3</v>
          </cell>
          <cell r="H104">
            <v>3</v>
          </cell>
          <cell r="I104">
            <v>1</v>
          </cell>
          <cell r="J104">
            <v>0</v>
          </cell>
          <cell r="K104">
            <v>0</v>
          </cell>
          <cell r="L104">
            <v>2</v>
          </cell>
        </row>
        <row r="105">
          <cell r="F105">
            <v>7</v>
          </cell>
          <cell r="G105">
            <v>6</v>
          </cell>
          <cell r="H105">
            <v>1</v>
          </cell>
          <cell r="I105">
            <v>0</v>
          </cell>
          <cell r="J105">
            <v>1</v>
          </cell>
          <cell r="K105">
            <v>0</v>
          </cell>
          <cell r="L105">
            <v>5</v>
          </cell>
          <cell r="M105">
            <v>431211</v>
          </cell>
        </row>
      </sheetData>
      <sheetData sheetId="9">
        <row r="103">
          <cell r="C103">
            <v>1772</v>
          </cell>
          <cell r="D103">
            <v>3</v>
          </cell>
          <cell r="F103">
            <v>0</v>
          </cell>
          <cell r="G103">
            <v>0</v>
          </cell>
          <cell r="H103">
            <v>4</v>
          </cell>
          <cell r="I103">
            <v>180</v>
          </cell>
        </row>
        <row r="104">
          <cell r="C104">
            <v>1738</v>
          </cell>
          <cell r="D104">
            <v>3</v>
          </cell>
          <cell r="F104">
            <v>0</v>
          </cell>
          <cell r="G104">
            <v>0</v>
          </cell>
          <cell r="H104">
            <v>0</v>
          </cell>
          <cell r="I104">
            <v>3130</v>
          </cell>
        </row>
        <row r="105">
          <cell r="C105">
            <v>1468</v>
          </cell>
          <cell r="D105">
            <v>3</v>
          </cell>
          <cell r="F105">
            <v>0</v>
          </cell>
          <cell r="G105">
            <v>0</v>
          </cell>
          <cell r="H105">
            <v>0</v>
          </cell>
          <cell r="I105">
            <v>205</v>
          </cell>
        </row>
      </sheetData>
      <sheetData sheetId="10">
        <row r="102">
          <cell r="D102">
            <v>108</v>
          </cell>
          <cell r="E102">
            <v>80</v>
          </cell>
        </row>
        <row r="103">
          <cell r="D103">
            <v>91</v>
          </cell>
          <cell r="E103">
            <v>72</v>
          </cell>
        </row>
        <row r="104">
          <cell r="C104">
            <v>927</v>
          </cell>
          <cell r="D104">
            <v>112</v>
          </cell>
          <cell r="E104">
            <v>73</v>
          </cell>
          <cell r="F104">
            <v>21639</v>
          </cell>
          <cell r="G104">
            <v>4170531</v>
          </cell>
        </row>
      </sheetData>
      <sheetData sheetId="11">
        <row r="104">
          <cell r="C104">
            <v>39347</v>
          </cell>
          <cell r="D104">
            <v>14549</v>
          </cell>
          <cell r="E104">
            <v>2472</v>
          </cell>
          <cell r="F104">
            <v>229</v>
          </cell>
          <cell r="G104">
            <v>22097</v>
          </cell>
          <cell r="H104">
            <v>39347</v>
          </cell>
          <cell r="I104">
            <v>37277</v>
          </cell>
          <cell r="J104">
            <v>2070</v>
          </cell>
        </row>
        <row r="105">
          <cell r="C105">
            <v>32854</v>
          </cell>
          <cell r="D105">
            <v>22907</v>
          </cell>
          <cell r="E105">
            <v>4158</v>
          </cell>
          <cell r="F105">
            <v>174</v>
          </cell>
          <cell r="G105">
            <v>5615</v>
          </cell>
          <cell r="H105">
            <v>32854</v>
          </cell>
          <cell r="I105">
            <v>30730</v>
          </cell>
          <cell r="J105">
            <v>2124</v>
          </cell>
        </row>
        <row r="106">
          <cell r="C106">
            <v>42700</v>
          </cell>
          <cell r="D106">
            <v>22648</v>
          </cell>
          <cell r="E106">
            <v>7306</v>
          </cell>
          <cell r="F106">
            <v>0</v>
          </cell>
          <cell r="G106">
            <v>12746</v>
          </cell>
          <cell r="H106">
            <v>42700</v>
          </cell>
          <cell r="I106">
            <v>27730</v>
          </cell>
          <cell r="J106">
            <v>14970</v>
          </cell>
        </row>
      </sheetData>
      <sheetData sheetId="12">
        <row r="101">
          <cell r="B101">
            <v>714163</v>
          </cell>
          <cell r="C101">
            <v>349220</v>
          </cell>
          <cell r="D101">
            <v>2500</v>
          </cell>
          <cell r="E101">
            <v>244085</v>
          </cell>
          <cell r="F101">
            <v>46522</v>
          </cell>
          <cell r="G101">
            <v>22933</v>
          </cell>
          <cell r="H101">
            <v>26162</v>
          </cell>
          <cell r="I101">
            <v>2311</v>
          </cell>
          <cell r="J101">
            <v>20430</v>
          </cell>
        </row>
        <row r="102">
          <cell r="B102">
            <v>648727</v>
          </cell>
          <cell r="C102">
            <v>308867</v>
          </cell>
          <cell r="D102">
            <v>2300</v>
          </cell>
          <cell r="E102">
            <v>216043</v>
          </cell>
          <cell r="F102">
            <v>50150</v>
          </cell>
          <cell r="G102">
            <v>22402</v>
          </cell>
          <cell r="H102">
            <v>26534</v>
          </cell>
          <cell r="I102">
            <v>2593</v>
          </cell>
          <cell r="J102">
            <v>19838</v>
          </cell>
        </row>
        <row r="103">
          <cell r="B103">
            <v>241255</v>
          </cell>
          <cell r="C103">
            <v>33180</v>
          </cell>
          <cell r="D103">
            <v>2100</v>
          </cell>
          <cell r="E103">
            <v>134736</v>
          </cell>
          <cell r="F103">
            <v>39149</v>
          </cell>
          <cell r="G103">
            <v>21212</v>
          </cell>
          <cell r="H103">
            <v>1641</v>
          </cell>
          <cell r="I103">
            <v>3272</v>
          </cell>
          <cell r="J103">
            <v>5965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431211</v>
          </cell>
          <cell r="D13">
            <v>198</v>
          </cell>
          <cell r="E13">
            <v>34</v>
          </cell>
          <cell r="F13">
            <v>164</v>
          </cell>
          <cell r="G13">
            <v>4314</v>
          </cell>
          <cell r="H13">
            <v>2258</v>
          </cell>
          <cell r="I13">
            <v>2056</v>
          </cell>
          <cell r="J13">
            <v>112694</v>
          </cell>
          <cell r="K13">
            <v>111604</v>
          </cell>
          <cell r="L13">
            <v>1090</v>
          </cell>
          <cell r="N13">
            <v>18182</v>
          </cell>
          <cell r="O13">
            <v>18120</v>
          </cell>
          <cell r="P13">
            <v>62</v>
          </cell>
          <cell r="Q13">
            <v>1138</v>
          </cell>
          <cell r="R13">
            <v>294685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土地人口概況"/>
      <sheetName val="人口動態"/>
      <sheetName val="各鄉鎮土地人口概況"/>
      <sheetName val="各鄉鎮市人口消長"/>
      <sheetName val="勞動力與就業"/>
      <sheetName val="環境保護"/>
      <sheetName val="社會福利"/>
      <sheetName val="衛生醫療"/>
      <sheetName val="參考"/>
      <sheetName val="圖一"/>
      <sheetName val="圖二"/>
      <sheetName val="衛(參考95.01-)"/>
      <sheetName val="衛(參考-94.12)"/>
      <sheetName val="圖三"/>
      <sheetName val="環參考"/>
      <sheetName val="圖四"/>
      <sheetName val="環境參考"/>
      <sheetName val="社福參考"/>
      <sheetName val="圖五"/>
      <sheetName val="Sheet3"/>
    </sheetNames>
    <sheetDataSet>
      <sheetData sheetId="8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1">
        <row r="129">
          <cell r="F129">
            <v>460486</v>
          </cell>
        </row>
      </sheetData>
      <sheetData sheetId="6">
        <row r="108">
          <cell r="E108">
            <v>164820</v>
          </cell>
          <cell r="H108">
            <v>13473</v>
          </cell>
          <cell r="I108">
            <v>6855</v>
          </cell>
          <cell r="J108">
            <v>1604</v>
          </cell>
          <cell r="K108">
            <v>0</v>
          </cell>
        </row>
        <row r="109">
          <cell r="E109">
            <v>135373</v>
          </cell>
          <cell r="H109">
            <v>15182</v>
          </cell>
          <cell r="I109">
            <v>15781</v>
          </cell>
          <cell r="J109">
            <v>1535</v>
          </cell>
          <cell r="K109">
            <v>0</v>
          </cell>
        </row>
        <row r="110">
          <cell r="E110">
            <v>239976</v>
          </cell>
          <cell r="H110">
            <v>20185</v>
          </cell>
          <cell r="I110">
            <v>6358</v>
          </cell>
          <cell r="J110">
            <v>1572</v>
          </cell>
          <cell r="K110">
            <v>-8</v>
          </cell>
        </row>
      </sheetData>
      <sheetData sheetId="7">
        <row r="28">
          <cell r="S28">
            <v>461055.5</v>
          </cell>
        </row>
        <row r="38">
          <cell r="C38">
            <v>486</v>
          </cell>
          <cell r="D38">
            <v>435</v>
          </cell>
          <cell r="G38">
            <v>2</v>
          </cell>
          <cell r="H38">
            <v>2</v>
          </cell>
          <cell r="K38">
            <v>146</v>
          </cell>
          <cell r="L38">
            <v>112</v>
          </cell>
          <cell r="O38">
            <v>338</v>
          </cell>
          <cell r="P38">
            <v>321</v>
          </cell>
        </row>
        <row r="39">
          <cell r="C39">
            <v>378</v>
          </cell>
          <cell r="D39">
            <v>342</v>
          </cell>
          <cell r="G39">
            <v>8</v>
          </cell>
          <cell r="H39">
            <v>6</v>
          </cell>
          <cell r="K39">
            <v>97</v>
          </cell>
          <cell r="L39">
            <v>84</v>
          </cell>
          <cell r="O39">
            <v>273</v>
          </cell>
          <cell r="P39">
            <v>252</v>
          </cell>
        </row>
        <row r="40">
          <cell r="C40">
            <v>387</v>
          </cell>
          <cell r="D40">
            <v>284</v>
          </cell>
          <cell r="G40">
            <v>6</v>
          </cell>
          <cell r="H40">
            <v>8</v>
          </cell>
          <cell r="K40">
            <v>136</v>
          </cell>
          <cell r="L40">
            <v>59</v>
          </cell>
          <cell r="O40">
            <v>245</v>
          </cell>
          <cell r="P40">
            <v>217</v>
          </cell>
        </row>
      </sheetData>
      <sheetData sheetId="8">
        <row r="96">
          <cell r="M96">
            <v>432389</v>
          </cell>
        </row>
        <row r="106">
          <cell r="F106">
            <v>8</v>
          </cell>
          <cell r="G106">
            <v>5</v>
          </cell>
          <cell r="H106">
            <v>3</v>
          </cell>
          <cell r="I106">
            <v>2</v>
          </cell>
          <cell r="J106">
            <v>0</v>
          </cell>
          <cell r="K106">
            <v>0</v>
          </cell>
          <cell r="L106">
            <v>3</v>
          </cell>
        </row>
        <row r="107">
          <cell r="F107">
            <v>5</v>
          </cell>
          <cell r="G107">
            <v>4</v>
          </cell>
          <cell r="H107">
            <v>1</v>
          </cell>
          <cell r="I107">
            <v>0</v>
          </cell>
          <cell r="J107">
            <v>0</v>
          </cell>
          <cell r="K107">
            <v>1</v>
          </cell>
          <cell r="L107">
            <v>3</v>
          </cell>
        </row>
        <row r="108">
          <cell r="F108">
            <v>3</v>
          </cell>
          <cell r="G108">
            <v>2</v>
          </cell>
          <cell r="H108">
            <v>1</v>
          </cell>
          <cell r="I108">
            <v>0</v>
          </cell>
          <cell r="J108">
            <v>0</v>
          </cell>
          <cell r="K108">
            <v>1</v>
          </cell>
          <cell r="L108">
            <v>1</v>
          </cell>
          <cell r="M108">
            <v>432389</v>
          </cell>
        </row>
      </sheetData>
      <sheetData sheetId="9">
        <row r="106">
          <cell r="C106">
            <v>1385</v>
          </cell>
          <cell r="D106">
            <v>3</v>
          </cell>
          <cell r="F106">
            <v>0</v>
          </cell>
          <cell r="G106">
            <v>0</v>
          </cell>
          <cell r="H106">
            <v>0</v>
          </cell>
          <cell r="I106">
            <v>213</v>
          </cell>
        </row>
        <row r="107">
          <cell r="C107">
            <v>1376</v>
          </cell>
          <cell r="D107">
            <v>3</v>
          </cell>
          <cell r="F107">
            <v>0</v>
          </cell>
          <cell r="G107">
            <v>0</v>
          </cell>
          <cell r="H107">
            <v>0</v>
          </cell>
          <cell r="I107">
            <v>100</v>
          </cell>
        </row>
        <row r="108">
          <cell r="C108">
            <v>1406</v>
          </cell>
          <cell r="D108">
            <v>6</v>
          </cell>
          <cell r="F108">
            <v>2</v>
          </cell>
          <cell r="G108">
            <v>0</v>
          </cell>
          <cell r="H108">
            <v>5</v>
          </cell>
          <cell r="I108">
            <v>1200</v>
          </cell>
        </row>
      </sheetData>
      <sheetData sheetId="10">
        <row r="105">
          <cell r="D105">
            <v>91</v>
          </cell>
          <cell r="E105">
            <v>48</v>
          </cell>
        </row>
        <row r="106">
          <cell r="D106">
            <v>140</v>
          </cell>
          <cell r="E106">
            <v>76</v>
          </cell>
        </row>
        <row r="107">
          <cell r="C107">
            <v>931</v>
          </cell>
          <cell r="D107">
            <v>79</v>
          </cell>
          <cell r="E107">
            <v>41</v>
          </cell>
          <cell r="F107">
            <v>21787</v>
          </cell>
          <cell r="G107">
            <v>4204992</v>
          </cell>
        </row>
      </sheetData>
      <sheetData sheetId="11">
        <row r="107">
          <cell r="C107">
            <v>13964</v>
          </cell>
          <cell r="D107">
            <v>5651</v>
          </cell>
          <cell r="E107">
            <v>1224</v>
          </cell>
          <cell r="F107">
            <v>393</v>
          </cell>
          <cell r="G107">
            <v>6696</v>
          </cell>
          <cell r="H107">
            <v>13964</v>
          </cell>
          <cell r="I107">
            <v>12925</v>
          </cell>
          <cell r="J107">
            <v>1039</v>
          </cell>
        </row>
        <row r="108">
          <cell r="C108">
            <v>44329</v>
          </cell>
          <cell r="D108">
            <v>18711</v>
          </cell>
          <cell r="E108">
            <v>11066</v>
          </cell>
          <cell r="F108">
            <v>306</v>
          </cell>
          <cell r="G108">
            <v>14246</v>
          </cell>
          <cell r="H108">
            <v>44329</v>
          </cell>
          <cell r="I108">
            <v>40921</v>
          </cell>
          <cell r="J108">
            <v>3408</v>
          </cell>
        </row>
        <row r="109">
          <cell r="C109">
            <v>28040</v>
          </cell>
          <cell r="D109">
            <v>12247</v>
          </cell>
          <cell r="E109">
            <v>5080</v>
          </cell>
          <cell r="F109">
            <v>133</v>
          </cell>
          <cell r="G109">
            <v>10580</v>
          </cell>
          <cell r="H109">
            <v>28040</v>
          </cell>
          <cell r="I109">
            <v>25494</v>
          </cell>
          <cell r="J109">
            <v>2546</v>
          </cell>
        </row>
      </sheetData>
      <sheetData sheetId="12">
        <row r="104">
          <cell r="B104">
            <v>203649</v>
          </cell>
          <cell r="C104">
            <v>27269</v>
          </cell>
          <cell r="D104">
            <v>2400</v>
          </cell>
          <cell r="E104">
            <v>110709</v>
          </cell>
          <cell r="F104">
            <v>34793</v>
          </cell>
          <cell r="G104">
            <v>20441</v>
          </cell>
          <cell r="H104">
            <v>1186</v>
          </cell>
          <cell r="I104">
            <v>2750</v>
          </cell>
          <cell r="J104">
            <v>4101</v>
          </cell>
        </row>
        <row r="105">
          <cell r="B105">
            <v>193320</v>
          </cell>
          <cell r="C105">
            <v>28923</v>
          </cell>
          <cell r="D105">
            <v>2000</v>
          </cell>
          <cell r="E105">
            <v>99535</v>
          </cell>
          <cell r="F105">
            <v>38188</v>
          </cell>
          <cell r="G105">
            <v>19165</v>
          </cell>
          <cell r="H105">
            <v>0</v>
          </cell>
          <cell r="I105">
            <v>1785</v>
          </cell>
          <cell r="J105">
            <v>3724</v>
          </cell>
        </row>
        <row r="106">
          <cell r="B106">
            <v>193999</v>
          </cell>
          <cell r="C106">
            <v>32225</v>
          </cell>
          <cell r="D106">
            <v>2000</v>
          </cell>
          <cell r="E106">
            <v>93261</v>
          </cell>
          <cell r="F106">
            <v>40340</v>
          </cell>
          <cell r="G106">
            <v>21826</v>
          </cell>
          <cell r="H106">
            <v>0</v>
          </cell>
          <cell r="I106">
            <v>1872</v>
          </cell>
          <cell r="J106">
            <v>2475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432389</v>
          </cell>
          <cell r="D13">
            <v>208</v>
          </cell>
          <cell r="E13">
            <v>35</v>
          </cell>
          <cell r="F13">
            <v>173</v>
          </cell>
          <cell r="G13">
            <v>4283</v>
          </cell>
          <cell r="H13">
            <v>2267</v>
          </cell>
          <cell r="I13">
            <v>2016</v>
          </cell>
          <cell r="J13">
            <v>113263</v>
          </cell>
          <cell r="K13">
            <v>112192</v>
          </cell>
          <cell r="L13">
            <v>1071</v>
          </cell>
          <cell r="N13">
            <v>18270</v>
          </cell>
          <cell r="O13">
            <v>18234</v>
          </cell>
          <cell r="P13">
            <v>36</v>
          </cell>
          <cell r="Q13">
            <v>1137</v>
          </cell>
          <cell r="R13">
            <v>295228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6.工廠登記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稅捐表"/>
      <sheetName val="保安防衛"/>
      <sheetName val="交通事故"/>
      <sheetName val="火災防護"/>
      <sheetName val="工商登記"/>
      <sheetName val="總樓板面積"/>
      <sheetName val="觀光人次"/>
    </sheetNames>
    <sheetDataSet>
      <sheetData sheetId="6">
        <row r="92">
          <cell r="C92">
            <v>123635</v>
          </cell>
          <cell r="D92">
            <v>2289</v>
          </cell>
          <cell r="E92">
            <v>74088</v>
          </cell>
          <cell r="F92">
            <v>5939</v>
          </cell>
          <cell r="G92">
            <v>10302</v>
          </cell>
          <cell r="H92">
            <v>18211</v>
          </cell>
          <cell r="I92">
            <v>11204</v>
          </cell>
          <cell r="J92">
            <v>1602</v>
          </cell>
          <cell r="K92">
            <v>0</v>
          </cell>
        </row>
        <row r="93">
          <cell r="C93">
            <v>150566</v>
          </cell>
          <cell r="D93">
            <v>1511</v>
          </cell>
          <cell r="E93">
            <v>112807</v>
          </cell>
          <cell r="F93">
            <v>5544</v>
          </cell>
          <cell r="G93">
            <v>8627</v>
          </cell>
          <cell r="H93">
            <v>13464</v>
          </cell>
          <cell r="I93">
            <v>7016</v>
          </cell>
          <cell r="J93">
            <v>1597</v>
          </cell>
          <cell r="K93">
            <v>0</v>
          </cell>
        </row>
        <row r="94">
          <cell r="C94">
            <v>123093</v>
          </cell>
          <cell r="D94">
            <v>1343</v>
          </cell>
          <cell r="E94">
            <v>84156</v>
          </cell>
          <cell r="F94">
            <v>8924</v>
          </cell>
          <cell r="G94">
            <v>4060</v>
          </cell>
          <cell r="H94">
            <v>11369</v>
          </cell>
          <cell r="I94">
            <v>11085</v>
          </cell>
          <cell r="J94">
            <v>2156</v>
          </cell>
          <cell r="K94">
            <v>0</v>
          </cell>
        </row>
      </sheetData>
      <sheetData sheetId="8">
        <row r="90">
          <cell r="F90">
            <v>12</v>
          </cell>
          <cell r="I90">
            <v>0</v>
          </cell>
          <cell r="J90">
            <v>0</v>
          </cell>
          <cell r="K90">
            <v>2</v>
          </cell>
          <cell r="L90">
            <v>6</v>
          </cell>
        </row>
        <row r="91">
          <cell r="F91">
            <v>3</v>
          </cell>
          <cell r="I91">
            <v>2</v>
          </cell>
          <cell r="J91">
            <v>0</v>
          </cell>
          <cell r="K91">
            <v>0</v>
          </cell>
          <cell r="L91">
            <v>1</v>
          </cell>
        </row>
        <row r="92">
          <cell r="F92">
            <v>5</v>
          </cell>
          <cell r="I92">
            <v>1</v>
          </cell>
          <cell r="J92">
            <v>1</v>
          </cell>
          <cell r="K92">
            <v>1</v>
          </cell>
          <cell r="L92">
            <v>2</v>
          </cell>
          <cell r="M92">
            <v>424902</v>
          </cell>
        </row>
      </sheetData>
      <sheetData sheetId="9">
        <row r="90">
          <cell r="C90">
            <v>1583</v>
          </cell>
          <cell r="D90">
            <v>7</v>
          </cell>
          <cell r="F90">
            <v>0</v>
          </cell>
          <cell r="G90">
            <v>0</v>
          </cell>
          <cell r="H90">
            <v>6</v>
          </cell>
          <cell r="I90">
            <v>215</v>
          </cell>
        </row>
        <row r="91">
          <cell r="C91">
            <v>1517</v>
          </cell>
          <cell r="D91">
            <v>8</v>
          </cell>
          <cell r="F91">
            <v>5</v>
          </cell>
          <cell r="G91">
            <v>0</v>
          </cell>
          <cell r="H91">
            <v>0</v>
          </cell>
          <cell r="I91">
            <v>1161</v>
          </cell>
        </row>
        <row r="92">
          <cell r="C92">
            <v>1502</v>
          </cell>
          <cell r="D92">
            <v>7</v>
          </cell>
          <cell r="F92">
            <v>0</v>
          </cell>
          <cell r="G92">
            <v>0</v>
          </cell>
          <cell r="H92">
            <v>3</v>
          </cell>
          <cell r="I92">
            <v>1932</v>
          </cell>
        </row>
      </sheetData>
      <sheetData sheetId="10">
        <row r="89">
          <cell r="D89">
            <v>116</v>
          </cell>
          <cell r="E89">
            <v>50</v>
          </cell>
        </row>
        <row r="90">
          <cell r="D90">
            <v>104</v>
          </cell>
          <cell r="E90">
            <v>52</v>
          </cell>
        </row>
        <row r="91">
          <cell r="C91">
            <v>943</v>
          </cell>
          <cell r="D91">
            <v>126</v>
          </cell>
          <cell r="E91">
            <v>75</v>
          </cell>
          <cell r="F91">
            <v>21350</v>
          </cell>
          <cell r="G91">
            <v>4046622</v>
          </cell>
        </row>
      </sheetData>
      <sheetData sheetId="11">
        <row r="91">
          <cell r="C91">
            <v>33928</v>
          </cell>
          <cell r="D91">
            <v>10074</v>
          </cell>
          <cell r="E91">
            <v>2022</v>
          </cell>
          <cell r="F91">
            <v>0</v>
          </cell>
          <cell r="G91">
            <v>21832</v>
          </cell>
          <cell r="H91">
            <v>33928</v>
          </cell>
          <cell r="I91">
            <v>15604</v>
          </cell>
          <cell r="J91">
            <v>18324</v>
          </cell>
        </row>
        <row r="92">
          <cell r="C92">
            <v>33143</v>
          </cell>
          <cell r="D92">
            <v>11416</v>
          </cell>
          <cell r="E92">
            <v>5258</v>
          </cell>
          <cell r="F92">
            <v>42</v>
          </cell>
          <cell r="G92">
            <v>16427</v>
          </cell>
          <cell r="H92">
            <v>33143</v>
          </cell>
          <cell r="I92">
            <v>26928</v>
          </cell>
          <cell r="J92">
            <v>6215</v>
          </cell>
        </row>
        <row r="93">
          <cell r="C93">
            <v>34950</v>
          </cell>
          <cell r="D93">
            <v>3062</v>
          </cell>
          <cell r="E93">
            <v>8090</v>
          </cell>
          <cell r="F93">
            <v>0</v>
          </cell>
          <cell r="G93">
            <v>23798</v>
          </cell>
          <cell r="H93">
            <v>34950</v>
          </cell>
          <cell r="I93">
            <v>32628</v>
          </cell>
          <cell r="J93">
            <v>2322</v>
          </cell>
        </row>
      </sheetData>
      <sheetData sheetId="12">
        <row r="88">
          <cell r="B88">
            <v>700323</v>
          </cell>
          <cell r="C88">
            <v>207590</v>
          </cell>
          <cell r="D88">
            <v>1267</v>
          </cell>
          <cell r="E88">
            <v>202684</v>
          </cell>
          <cell r="F88">
            <v>29508</v>
          </cell>
          <cell r="G88">
            <v>21040</v>
          </cell>
          <cell r="H88">
            <v>27700</v>
          </cell>
          <cell r="I88">
            <v>4021</v>
          </cell>
          <cell r="J88">
            <v>206513</v>
          </cell>
        </row>
        <row r="89">
          <cell r="B89">
            <v>769098</v>
          </cell>
          <cell r="C89">
            <v>183290</v>
          </cell>
          <cell r="D89">
            <v>1314</v>
          </cell>
          <cell r="E89">
            <v>248337</v>
          </cell>
          <cell r="F89">
            <v>30040</v>
          </cell>
          <cell r="G89">
            <v>21143</v>
          </cell>
          <cell r="H89">
            <v>22037</v>
          </cell>
          <cell r="I89">
            <v>3867</v>
          </cell>
          <cell r="J89">
            <v>259070</v>
          </cell>
        </row>
        <row r="90">
          <cell r="B90">
            <v>251030</v>
          </cell>
          <cell r="C90">
            <v>35925</v>
          </cell>
          <cell r="D90">
            <v>1167</v>
          </cell>
          <cell r="E90">
            <v>143703</v>
          </cell>
          <cell r="F90">
            <v>37039</v>
          </cell>
          <cell r="G90">
            <v>19693</v>
          </cell>
          <cell r="H90">
            <v>1724</v>
          </cell>
          <cell r="I90">
            <v>3947</v>
          </cell>
          <cell r="J90">
            <v>7832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-5"/>
      <sheetName val="3-5(續)"/>
    </sheetNames>
    <sheetDataSet>
      <sheetData sheetId="1">
        <row r="13">
          <cell r="C13">
            <v>424902</v>
          </cell>
          <cell r="D13">
            <v>175</v>
          </cell>
          <cell r="E13">
            <v>23</v>
          </cell>
          <cell r="F13">
            <v>152</v>
          </cell>
          <cell r="G13">
            <v>4441</v>
          </cell>
          <cell r="H13">
            <v>2243</v>
          </cell>
          <cell r="I13">
            <v>2198</v>
          </cell>
          <cell r="J13">
            <v>110715</v>
          </cell>
          <cell r="K13">
            <v>109614</v>
          </cell>
          <cell r="L13">
            <v>1101</v>
          </cell>
          <cell r="N13">
            <v>17987</v>
          </cell>
          <cell r="O13">
            <v>17931</v>
          </cell>
          <cell r="P13">
            <v>56</v>
          </cell>
          <cell r="Q13">
            <v>1138</v>
          </cell>
          <cell r="R13">
            <v>290446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K11">
            <v>8</v>
          </cell>
        </row>
        <row r="12">
          <cell r="K12">
            <v>3</v>
          </cell>
        </row>
        <row r="13">
          <cell r="K13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6"/>
      <sheetName val="現用"/>
    </sheetNames>
    <sheetDataSet>
      <sheetData sheetId="0">
        <row r="51">
          <cell r="B51" t="str">
            <v>86年1月</v>
          </cell>
          <cell r="C51">
            <v>753</v>
          </cell>
          <cell r="D51">
            <v>14</v>
          </cell>
          <cell r="E51">
            <v>44</v>
          </cell>
        </row>
        <row r="52">
          <cell r="B52" t="str">
            <v>2月</v>
          </cell>
          <cell r="C52">
            <v>900</v>
          </cell>
          <cell r="D52">
            <v>29</v>
          </cell>
          <cell r="E52">
            <v>156</v>
          </cell>
        </row>
        <row r="53">
          <cell r="B53" t="str">
            <v>3月</v>
          </cell>
          <cell r="C53">
            <v>642</v>
          </cell>
          <cell r="D53">
            <v>42</v>
          </cell>
          <cell r="E53">
            <v>23</v>
          </cell>
        </row>
        <row r="54">
          <cell r="B54" t="str">
            <v>4月</v>
          </cell>
          <cell r="C54">
            <v>718</v>
          </cell>
          <cell r="D54">
            <v>10</v>
          </cell>
          <cell r="E54">
            <v>16</v>
          </cell>
        </row>
        <row r="55">
          <cell r="B55" t="str">
            <v>5月</v>
          </cell>
          <cell r="C55">
            <v>722</v>
          </cell>
          <cell r="D55">
            <v>34</v>
          </cell>
          <cell r="E55">
            <v>13</v>
          </cell>
        </row>
        <row r="56">
          <cell r="B56" t="str">
            <v>6月</v>
          </cell>
          <cell r="C56">
            <v>688</v>
          </cell>
          <cell r="D56">
            <v>13</v>
          </cell>
          <cell r="E56">
            <v>9</v>
          </cell>
        </row>
        <row r="57">
          <cell r="B57" t="str">
            <v>7月</v>
          </cell>
          <cell r="C57">
            <v>774</v>
          </cell>
          <cell r="D57">
            <v>8</v>
          </cell>
          <cell r="E57">
            <v>24</v>
          </cell>
        </row>
        <row r="58">
          <cell r="B58" t="str">
            <v>8月</v>
          </cell>
          <cell r="C58">
            <v>803</v>
          </cell>
          <cell r="D58">
            <v>14</v>
          </cell>
          <cell r="E58">
            <v>20</v>
          </cell>
        </row>
        <row r="59">
          <cell r="B59" t="str">
            <v>9月</v>
          </cell>
          <cell r="C59">
            <v>675</v>
          </cell>
          <cell r="D59">
            <v>8</v>
          </cell>
          <cell r="E59">
            <v>17</v>
          </cell>
        </row>
        <row r="60">
          <cell r="B60" t="str">
            <v>10月</v>
          </cell>
          <cell r="C60">
            <v>695</v>
          </cell>
          <cell r="D60">
            <v>22</v>
          </cell>
          <cell r="E60">
            <v>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.工廠登記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-1人口數"/>
      <sheetName val="1-2及1-3人口分布"/>
      <sheetName val="2-1年齡分組"/>
      <sheetName val="2-2年齡分組"/>
      <sheetName val="3-1增加趨勢"/>
      <sheetName val="4-1婚姻狀況"/>
      <sheetName val="4-2婚姻狀況 "/>
      <sheetName val="5-1教育程度"/>
      <sheetName val="5-1參考"/>
      <sheetName val="5-1分組參考"/>
      <sheetName val="6-1經濟活動"/>
      <sheetName val="6-2行業"/>
      <sheetName val="6-3職業"/>
      <sheetName val="6-4從業身份"/>
      <sheetName val="預測值 (90)"/>
      <sheetName val="預測值"/>
      <sheetName val="Sheet1"/>
      <sheetName val="Sheet2"/>
      <sheetName val="縣地圖"/>
      <sheetName val="Sheet15"/>
      <sheetName val="Sheet8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A2" sqref="A2:I2"/>
    </sheetView>
  </sheetViews>
  <sheetFormatPr defaultColWidth="9.00390625" defaultRowHeight="16.5"/>
  <cols>
    <col min="1" max="8" width="9.00390625" style="2" customWidth="1"/>
    <col min="9" max="9" width="15.375" style="2" customWidth="1"/>
    <col min="10" max="16384" width="9.00390625" style="2" customWidth="1"/>
  </cols>
  <sheetData>
    <row r="2" spans="1:9" ht="25.5">
      <c r="A2" s="892" t="s">
        <v>1328</v>
      </c>
      <c r="B2" s="892"/>
      <c r="C2" s="892"/>
      <c r="D2" s="892"/>
      <c r="E2" s="892"/>
      <c r="F2" s="892"/>
      <c r="G2" s="892"/>
      <c r="H2" s="892"/>
      <c r="I2" s="892"/>
    </row>
    <row r="3" spans="1:9" ht="39.75" customHeight="1">
      <c r="A3" s="893" t="s">
        <v>1081</v>
      </c>
      <c r="B3" s="893"/>
      <c r="C3" s="893"/>
      <c r="D3" s="893"/>
      <c r="E3" s="893"/>
      <c r="F3" s="893"/>
      <c r="G3" s="893"/>
      <c r="H3" s="893"/>
      <c r="I3" s="893"/>
    </row>
    <row r="4" spans="1:9" s="98" customFormat="1" ht="27.75" customHeight="1">
      <c r="A4" s="889" t="s">
        <v>1218</v>
      </c>
      <c r="B4" s="890"/>
      <c r="C4" s="890"/>
      <c r="D4" s="890"/>
      <c r="E4" s="890"/>
      <c r="F4" s="890"/>
      <c r="G4" s="890"/>
      <c r="H4" s="890"/>
      <c r="I4" s="890"/>
    </row>
    <row r="5" spans="1:9" s="98" customFormat="1" ht="27.75" customHeight="1">
      <c r="A5" s="889" t="s">
        <v>1212</v>
      </c>
      <c r="B5" s="890"/>
      <c r="C5" s="890"/>
      <c r="D5" s="890"/>
      <c r="E5" s="890"/>
      <c r="F5" s="890"/>
      <c r="G5" s="890"/>
      <c r="H5" s="890"/>
      <c r="I5" s="890"/>
    </row>
    <row r="6" spans="1:9" s="98" customFormat="1" ht="27.75" customHeight="1">
      <c r="A6" s="889" t="s">
        <v>1214</v>
      </c>
      <c r="B6" s="890"/>
      <c r="C6" s="890"/>
      <c r="D6" s="890"/>
      <c r="E6" s="890"/>
      <c r="F6" s="890"/>
      <c r="G6" s="890"/>
      <c r="H6" s="890"/>
      <c r="I6" s="890"/>
    </row>
    <row r="7" spans="1:9" s="98" customFormat="1" ht="27.75" customHeight="1">
      <c r="A7" s="889" t="s">
        <v>1215</v>
      </c>
      <c r="B7" s="890"/>
      <c r="C7" s="890"/>
      <c r="D7" s="890"/>
      <c r="E7" s="890"/>
      <c r="F7" s="890"/>
      <c r="G7" s="890"/>
      <c r="H7" s="890"/>
      <c r="I7" s="890"/>
    </row>
    <row r="8" spans="1:9" s="98" customFormat="1" ht="27.75" customHeight="1">
      <c r="A8" s="889" t="s">
        <v>1216</v>
      </c>
      <c r="B8" s="890"/>
      <c r="C8" s="890"/>
      <c r="D8" s="890"/>
      <c r="E8" s="890"/>
      <c r="F8" s="890"/>
      <c r="G8" s="890"/>
      <c r="H8" s="890"/>
      <c r="I8" s="890"/>
    </row>
    <row r="9" spans="1:9" s="98" customFormat="1" ht="27.75" customHeight="1">
      <c r="A9" s="889" t="s">
        <v>1217</v>
      </c>
      <c r="B9" s="890"/>
      <c r="C9" s="890"/>
      <c r="D9" s="890"/>
      <c r="E9" s="890"/>
      <c r="F9" s="890"/>
      <c r="G9" s="890"/>
      <c r="H9" s="890"/>
      <c r="I9" s="890"/>
    </row>
    <row r="10" spans="1:9" s="98" customFormat="1" ht="27.75" customHeight="1">
      <c r="A10" s="889" t="s">
        <v>1259</v>
      </c>
      <c r="B10" s="890"/>
      <c r="C10" s="890"/>
      <c r="D10" s="890"/>
      <c r="E10" s="890"/>
      <c r="F10" s="890"/>
      <c r="G10" s="890"/>
      <c r="H10" s="890"/>
      <c r="I10" s="890"/>
    </row>
    <row r="11" spans="1:9" s="98" customFormat="1" ht="27.75" customHeight="1">
      <c r="A11" s="889" t="s">
        <v>1297</v>
      </c>
      <c r="B11" s="890"/>
      <c r="C11" s="890"/>
      <c r="D11" s="890"/>
      <c r="E11" s="890"/>
      <c r="F11" s="890"/>
      <c r="G11" s="890"/>
      <c r="H11" s="890"/>
      <c r="I11" s="890"/>
    </row>
    <row r="12" spans="1:9" s="98" customFormat="1" ht="27.75" customHeight="1">
      <c r="A12" s="889" t="s">
        <v>1298</v>
      </c>
      <c r="B12" s="890"/>
      <c r="C12" s="890"/>
      <c r="D12" s="890"/>
      <c r="E12" s="890"/>
      <c r="F12" s="890"/>
      <c r="G12" s="890"/>
      <c r="H12" s="890"/>
      <c r="I12" s="890"/>
    </row>
    <row r="13" spans="1:9" s="98" customFormat="1" ht="27.75" customHeight="1">
      <c r="A13" s="889" t="s">
        <v>1299</v>
      </c>
      <c r="B13" s="890"/>
      <c r="C13" s="890"/>
      <c r="D13" s="890"/>
      <c r="E13" s="890"/>
      <c r="F13" s="890"/>
      <c r="G13" s="890"/>
      <c r="H13" s="890"/>
      <c r="I13" s="890"/>
    </row>
    <row r="14" spans="1:9" s="98" customFormat="1" ht="27.75" customHeight="1">
      <c r="A14" s="889" t="s">
        <v>1300</v>
      </c>
      <c r="B14" s="890"/>
      <c r="C14" s="890"/>
      <c r="D14" s="890"/>
      <c r="E14" s="890"/>
      <c r="F14" s="890"/>
      <c r="G14" s="890"/>
      <c r="H14" s="890"/>
      <c r="I14" s="890"/>
    </row>
    <row r="15" spans="1:9" s="98" customFormat="1" ht="27.75" customHeight="1">
      <c r="A15" s="889" t="s">
        <v>1301</v>
      </c>
      <c r="B15" s="890"/>
      <c r="C15" s="890"/>
      <c r="D15" s="890"/>
      <c r="E15" s="890"/>
      <c r="F15" s="890"/>
      <c r="G15" s="890"/>
      <c r="H15" s="890"/>
      <c r="I15" s="890"/>
    </row>
    <row r="16" spans="1:9" s="98" customFormat="1" ht="27.75" customHeight="1">
      <c r="A16" s="889" t="s">
        <v>1356</v>
      </c>
      <c r="B16" s="890"/>
      <c r="C16" s="890"/>
      <c r="D16" s="890"/>
      <c r="E16" s="890"/>
      <c r="F16" s="890"/>
      <c r="G16" s="890"/>
      <c r="H16" s="890"/>
      <c r="I16" s="890"/>
    </row>
    <row r="17" spans="1:9" s="98" customFormat="1" ht="27.75" customHeight="1">
      <c r="A17" s="889" t="s">
        <v>1357</v>
      </c>
      <c r="B17" s="890"/>
      <c r="C17" s="890"/>
      <c r="D17" s="890"/>
      <c r="E17" s="890"/>
      <c r="F17" s="890"/>
      <c r="G17" s="890"/>
      <c r="H17" s="890"/>
      <c r="I17" s="890"/>
    </row>
    <row r="18" spans="1:9" s="98" customFormat="1" ht="27.75" customHeight="1">
      <c r="A18" s="889" t="s">
        <v>1302</v>
      </c>
      <c r="B18" s="890"/>
      <c r="C18" s="890"/>
      <c r="D18" s="890"/>
      <c r="E18" s="890"/>
      <c r="F18" s="890"/>
      <c r="G18" s="890"/>
      <c r="H18" s="890"/>
      <c r="I18" s="890"/>
    </row>
    <row r="19" spans="1:9" s="98" customFormat="1" ht="27.75" customHeight="1">
      <c r="A19" s="889" t="s">
        <v>1303</v>
      </c>
      <c r="B19" s="890"/>
      <c r="C19" s="890"/>
      <c r="D19" s="890"/>
      <c r="E19" s="890"/>
      <c r="F19" s="890"/>
      <c r="G19" s="890"/>
      <c r="H19" s="890"/>
      <c r="I19" s="890"/>
    </row>
    <row r="20" spans="1:9" s="98" customFormat="1" ht="27.75" customHeight="1">
      <c r="A20" s="889" t="s">
        <v>1304</v>
      </c>
      <c r="B20" s="890"/>
      <c r="C20" s="890"/>
      <c r="D20" s="890"/>
      <c r="E20" s="890"/>
      <c r="F20" s="890"/>
      <c r="G20" s="890"/>
      <c r="H20" s="890"/>
      <c r="I20" s="890"/>
    </row>
    <row r="21" spans="1:9" s="98" customFormat="1" ht="27.75" customHeight="1">
      <c r="A21" s="889" t="s">
        <v>1305</v>
      </c>
      <c r="B21" s="890"/>
      <c r="C21" s="890"/>
      <c r="D21" s="890"/>
      <c r="E21" s="890"/>
      <c r="F21" s="890"/>
      <c r="G21" s="890"/>
      <c r="H21" s="890"/>
      <c r="I21" s="890"/>
    </row>
    <row r="22" spans="1:9" s="98" customFormat="1" ht="27.75" customHeight="1">
      <c r="A22" s="889" t="s">
        <v>980</v>
      </c>
      <c r="B22" s="890"/>
      <c r="C22" s="890"/>
      <c r="D22" s="890"/>
      <c r="E22" s="890"/>
      <c r="F22" s="890"/>
      <c r="G22" s="890"/>
      <c r="H22" s="890"/>
      <c r="I22" s="890"/>
    </row>
    <row r="23" spans="1:9" s="98" customFormat="1" ht="27.75" customHeight="1">
      <c r="A23" s="889" t="s">
        <v>1308</v>
      </c>
      <c r="B23" s="890"/>
      <c r="C23" s="890"/>
      <c r="D23" s="890"/>
      <c r="E23" s="890"/>
      <c r="F23" s="890"/>
      <c r="G23" s="890"/>
      <c r="H23" s="890"/>
      <c r="I23" s="890"/>
    </row>
    <row r="24" spans="1:9" s="98" customFormat="1" ht="27.75" customHeight="1">
      <c r="A24" s="889" t="s">
        <v>1306</v>
      </c>
      <c r="B24" s="890"/>
      <c r="C24" s="890"/>
      <c r="D24" s="890"/>
      <c r="E24" s="890"/>
      <c r="F24" s="890"/>
      <c r="G24" s="890"/>
      <c r="H24" s="890"/>
      <c r="I24" s="890"/>
    </row>
    <row r="25" spans="1:9" s="98" customFormat="1" ht="27.75" customHeight="1">
      <c r="A25" s="889" t="s">
        <v>1307</v>
      </c>
      <c r="B25" s="890"/>
      <c r="C25" s="890"/>
      <c r="D25" s="890"/>
      <c r="E25" s="890"/>
      <c r="F25" s="890"/>
      <c r="G25" s="890"/>
      <c r="H25" s="890"/>
      <c r="I25" s="890"/>
    </row>
    <row r="26" spans="1:9" s="98" customFormat="1" ht="16.5">
      <c r="A26" s="891"/>
      <c r="B26" s="891"/>
      <c r="C26" s="891"/>
      <c r="D26" s="891"/>
      <c r="E26" s="891"/>
      <c r="F26" s="891"/>
      <c r="G26" s="891"/>
      <c r="H26" s="891"/>
      <c r="I26" s="891"/>
    </row>
    <row r="27" spans="1:9" s="98" customFormat="1" ht="16.5">
      <c r="A27" s="891"/>
      <c r="B27" s="891"/>
      <c r="C27" s="891"/>
      <c r="D27" s="891"/>
      <c r="E27" s="891"/>
      <c r="F27" s="891"/>
      <c r="G27" s="891"/>
      <c r="H27" s="891"/>
      <c r="I27" s="891"/>
    </row>
    <row r="28" s="98" customFormat="1" ht="16.5"/>
    <row r="29" s="98" customFormat="1" ht="16.5"/>
    <row r="30" s="98" customFormat="1" ht="16.5"/>
    <row r="31" s="98" customFormat="1" ht="16.5"/>
    <row r="32" s="98" customFormat="1" ht="16.5"/>
    <row r="33" s="98" customFormat="1" ht="16.5"/>
    <row r="34" s="98" customFormat="1" ht="16.5"/>
    <row r="35" s="98" customFormat="1" ht="16.5"/>
    <row r="36" s="98" customFormat="1" ht="16.5"/>
    <row r="37" s="98" customFormat="1" ht="16.5"/>
    <row r="38" s="98" customFormat="1" ht="16.5"/>
    <row r="39" s="98" customFormat="1" ht="16.5"/>
    <row r="40" s="98" customFormat="1" ht="16.5"/>
  </sheetData>
  <mergeCells count="26"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A18:I18"/>
    <mergeCell ref="A19:I19"/>
    <mergeCell ref="A20:I20"/>
    <mergeCell ref="A13:I13"/>
    <mergeCell ref="A14:I14"/>
    <mergeCell ref="A15:I15"/>
    <mergeCell ref="A16:I16"/>
    <mergeCell ref="A25:I25"/>
    <mergeCell ref="A26:I26"/>
    <mergeCell ref="A27:I27"/>
    <mergeCell ref="A2:I2"/>
    <mergeCell ref="A3:I3"/>
    <mergeCell ref="A21:I21"/>
    <mergeCell ref="A22:I22"/>
    <mergeCell ref="A23:I23"/>
    <mergeCell ref="A24:I24"/>
    <mergeCell ref="A17:I17"/>
  </mergeCells>
  <printOptions/>
  <pageMargins left="0.75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47"/>
  <sheetViews>
    <sheetView showGridLines="0" zoomScaleSheetLayoutView="100" workbookViewId="0" topLeftCell="A1">
      <selection activeCell="K4" sqref="K4"/>
    </sheetView>
  </sheetViews>
  <sheetFormatPr defaultColWidth="9.00390625" defaultRowHeight="16.5"/>
  <cols>
    <col min="1" max="1" width="2.625" style="3" customWidth="1"/>
    <col min="2" max="8" width="12.25390625" style="3" customWidth="1"/>
    <col min="9" max="10" width="2.625" style="3" customWidth="1"/>
    <col min="11" max="15" width="12.00390625" style="3" customWidth="1"/>
    <col min="16" max="16" width="10.625" style="3" hidden="1" customWidth="1"/>
    <col min="17" max="18" width="12.00390625" style="3" customWidth="1"/>
    <col min="19" max="19" width="2.625" style="3" customWidth="1"/>
    <col min="20" max="16384" width="9.00390625" style="3" customWidth="1"/>
  </cols>
  <sheetData>
    <row r="1" spans="1:12" s="190" customFormat="1" ht="49.5" customHeight="1">
      <c r="A1" s="1098" t="s">
        <v>746</v>
      </c>
      <c r="B1" s="1099"/>
      <c r="C1" s="1099"/>
      <c r="D1" s="1099"/>
      <c r="E1" s="1099"/>
      <c r="F1" s="1099"/>
      <c r="G1" s="1099"/>
      <c r="H1" s="1099"/>
      <c r="I1" s="1099"/>
      <c r="L1" s="224"/>
    </row>
    <row r="2" spans="1:11" ht="119.25" customHeight="1">
      <c r="A2" s="225"/>
      <c r="B2" s="1100" t="s">
        <v>747</v>
      </c>
      <c r="C2" s="1101"/>
      <c r="D2" s="1101"/>
      <c r="E2" s="1101"/>
      <c r="F2" s="1101"/>
      <c r="G2" s="1101"/>
      <c r="H2" s="1101"/>
      <c r="I2" s="225"/>
      <c r="K2" s="226"/>
    </row>
    <row r="4" ht="16.5" thickBot="1"/>
    <row r="5" spans="13:15" ht="28.5">
      <c r="M5" s="588" t="s">
        <v>748</v>
      </c>
      <c r="N5" s="633" t="s">
        <v>749</v>
      </c>
      <c r="O5" s="634" t="s">
        <v>750</v>
      </c>
    </row>
    <row r="6" spans="13:15" ht="16.5">
      <c r="M6" s="635" t="s">
        <v>751</v>
      </c>
      <c r="N6" s="637">
        <v>52699</v>
      </c>
      <c r="O6" s="636">
        <v>30300</v>
      </c>
    </row>
    <row r="7" spans="13:15" ht="16.5">
      <c r="M7" s="635" t="s">
        <v>752</v>
      </c>
      <c r="N7" s="596">
        <v>45825</v>
      </c>
      <c r="O7" s="597">
        <v>29949</v>
      </c>
    </row>
    <row r="8" spans="13:17" ht="16.5">
      <c r="M8" s="635" t="s">
        <v>753</v>
      </c>
      <c r="N8" s="3">
        <v>47146</v>
      </c>
      <c r="O8" s="704">
        <v>30114</v>
      </c>
      <c r="Q8" s="663"/>
    </row>
    <row r="9" spans="13:17" ht="16.5">
      <c r="M9" s="635" t="s">
        <v>754</v>
      </c>
      <c r="N9" s="737">
        <v>40343</v>
      </c>
      <c r="O9" s="716">
        <v>29736</v>
      </c>
      <c r="Q9" s="663"/>
    </row>
    <row r="10" spans="13:17" ht="17.25" thickBot="1">
      <c r="M10" s="738" t="s">
        <v>755</v>
      </c>
      <c r="N10" s="668">
        <v>51127</v>
      </c>
      <c r="O10" s="739">
        <v>29706</v>
      </c>
      <c r="Q10" s="663"/>
    </row>
    <row r="11" spans="14:15" ht="15.75">
      <c r="N11" s="612"/>
      <c r="O11" s="612"/>
    </row>
    <row r="23" ht="16.5" thickBot="1"/>
    <row r="24" spans="13:15" ht="33">
      <c r="M24" s="588" t="s">
        <v>748</v>
      </c>
      <c r="N24" s="638" t="s">
        <v>756</v>
      </c>
      <c r="O24" s="639" t="s">
        <v>757</v>
      </c>
    </row>
    <row r="25" spans="13:15" ht="16.5">
      <c r="M25" s="635" t="s">
        <v>751</v>
      </c>
      <c r="N25" s="641">
        <v>4894</v>
      </c>
      <c r="O25" s="640">
        <v>945</v>
      </c>
    </row>
    <row r="26" spans="13:15" ht="16.5">
      <c r="M26" s="659" t="s">
        <v>752</v>
      </c>
      <c r="N26" s="596">
        <v>1471</v>
      </c>
      <c r="O26" s="664">
        <v>922</v>
      </c>
    </row>
    <row r="27" spans="13:15" ht="16.5">
      <c r="M27" s="659" t="s">
        <v>753</v>
      </c>
      <c r="N27" s="681">
        <v>3636</v>
      </c>
      <c r="O27" s="683">
        <v>974</v>
      </c>
    </row>
    <row r="28" spans="13:15" ht="16.5">
      <c r="M28" s="635" t="s">
        <v>754</v>
      </c>
      <c r="N28" s="705">
        <v>3386</v>
      </c>
      <c r="O28" s="683">
        <v>725</v>
      </c>
    </row>
    <row r="29" spans="13:17" ht="17.25" thickBot="1">
      <c r="M29" s="661" t="s">
        <v>758</v>
      </c>
      <c r="N29" s="668">
        <v>3461</v>
      </c>
      <c r="O29" s="662">
        <v>596</v>
      </c>
      <c r="Q29" s="663"/>
    </row>
    <row r="30" spans="14:15" ht="15.75">
      <c r="N30" s="612"/>
      <c r="O30" s="612"/>
    </row>
    <row r="40" ht="6" customHeight="1"/>
    <row r="41" ht="6.75" customHeight="1"/>
    <row r="42" spans="1:9" ht="9" customHeight="1">
      <c r="A42" s="899" t="s">
        <v>759</v>
      </c>
      <c r="B42" s="899"/>
      <c r="C42" s="899"/>
      <c r="D42" s="899"/>
      <c r="E42" s="899"/>
      <c r="F42" s="899"/>
      <c r="G42" s="899"/>
      <c r="H42" s="899"/>
      <c r="I42" s="899"/>
    </row>
    <row r="43" spans="1:9" ht="13.5" customHeight="1">
      <c r="A43" s="899"/>
      <c r="B43" s="899"/>
      <c r="C43" s="899"/>
      <c r="D43" s="899"/>
      <c r="E43" s="899"/>
      <c r="F43" s="899"/>
      <c r="G43" s="899"/>
      <c r="H43" s="899"/>
      <c r="I43" s="899"/>
    </row>
    <row r="44" spans="1:19" ht="24.75" customHeight="1">
      <c r="A44" s="897" t="s">
        <v>760</v>
      </c>
      <c r="B44" s="897"/>
      <c r="C44" s="897"/>
      <c r="D44" s="897"/>
      <c r="E44" s="897"/>
      <c r="F44" s="897"/>
      <c r="G44" s="897"/>
      <c r="H44" s="897"/>
      <c r="I44" s="897"/>
      <c r="J44" s="897" t="s">
        <v>761</v>
      </c>
      <c r="K44" s="897"/>
      <c r="L44" s="897"/>
      <c r="M44" s="897"/>
      <c r="N44" s="897"/>
      <c r="O44" s="897"/>
      <c r="P44" s="897"/>
      <c r="Q44" s="897"/>
      <c r="R44" s="897"/>
      <c r="S44" s="897"/>
    </row>
    <row r="45" spans="1:19" ht="24.75" customHeight="1" thickBot="1">
      <c r="A45" s="898" t="s">
        <v>762</v>
      </c>
      <c r="B45" s="898"/>
      <c r="C45" s="898"/>
      <c r="D45" s="898"/>
      <c r="E45" s="898"/>
      <c r="F45" s="898"/>
      <c r="G45" s="898"/>
      <c r="H45" s="898"/>
      <c r="I45" s="898"/>
      <c r="J45" s="898" t="s">
        <v>763</v>
      </c>
      <c r="K45" s="898"/>
      <c r="L45" s="898"/>
      <c r="M45" s="898"/>
      <c r="N45" s="898"/>
      <c r="O45" s="898"/>
      <c r="P45" s="898"/>
      <c r="Q45" s="898"/>
      <c r="R45" s="898"/>
      <c r="S45" s="898"/>
    </row>
    <row r="46" spans="2:18" ht="19.5" customHeight="1">
      <c r="B46" s="860" t="s">
        <v>764</v>
      </c>
      <c r="C46" s="1055" t="s">
        <v>765</v>
      </c>
      <c r="D46" s="857"/>
      <c r="E46" s="858"/>
      <c r="F46" s="856" t="s">
        <v>766</v>
      </c>
      <c r="G46" s="857"/>
      <c r="H46" s="857"/>
      <c r="K46" s="860" t="s">
        <v>764</v>
      </c>
      <c r="L46" s="1055" t="s">
        <v>757</v>
      </c>
      <c r="M46" s="858"/>
      <c r="N46" s="856" t="s">
        <v>767</v>
      </c>
      <c r="O46" s="1120"/>
      <c r="P46" s="149"/>
      <c r="Q46" s="856" t="s">
        <v>768</v>
      </c>
      <c r="R46" s="857"/>
    </row>
    <row r="47" spans="2:18" ht="19.5" customHeight="1">
      <c r="B47" s="861"/>
      <c r="C47" s="1067"/>
      <c r="D47" s="1090"/>
      <c r="E47" s="911"/>
      <c r="F47" s="906"/>
      <c r="G47" s="910"/>
      <c r="H47" s="910"/>
      <c r="K47" s="1088"/>
      <c r="L47" s="1067"/>
      <c r="M47" s="911"/>
      <c r="N47" s="1121"/>
      <c r="O47" s="1122"/>
      <c r="P47" s="227"/>
      <c r="Q47" s="1089" t="s">
        <v>769</v>
      </c>
      <c r="R47" s="1090"/>
    </row>
    <row r="48" spans="2:18" ht="19.5" customHeight="1">
      <c r="B48" s="861"/>
      <c r="C48" s="1102" t="s">
        <v>770</v>
      </c>
      <c r="D48" s="1103"/>
      <c r="E48" s="1104"/>
      <c r="F48" s="1106" t="s">
        <v>771</v>
      </c>
      <c r="G48" s="1107"/>
      <c r="H48" s="1107"/>
      <c r="K48" s="1088"/>
      <c r="L48" s="1091" t="s">
        <v>1358</v>
      </c>
      <c r="M48" s="1092"/>
      <c r="N48" s="1106" t="s">
        <v>772</v>
      </c>
      <c r="O48" s="1123"/>
      <c r="P48" s="214"/>
      <c r="Q48" s="846" t="s">
        <v>1369</v>
      </c>
      <c r="R48" s="1095"/>
    </row>
    <row r="49" spans="2:18" ht="19.5" customHeight="1">
      <c r="B49" s="861"/>
      <c r="C49" s="1105"/>
      <c r="D49" s="812"/>
      <c r="E49" s="813"/>
      <c r="F49" s="811"/>
      <c r="G49" s="812"/>
      <c r="H49" s="812"/>
      <c r="K49" s="1088"/>
      <c r="L49" s="1093"/>
      <c r="M49" s="1094"/>
      <c r="N49" s="920"/>
      <c r="O49" s="921"/>
      <c r="P49" s="150"/>
      <c r="Q49" s="1096"/>
      <c r="R49" s="1097"/>
    </row>
    <row r="50" spans="2:18" ht="19.5" customHeight="1">
      <c r="B50" s="874" t="s">
        <v>773</v>
      </c>
      <c r="C50" s="1115" t="s">
        <v>774</v>
      </c>
      <c r="D50" s="851" t="s">
        <v>775</v>
      </c>
      <c r="E50" s="110" t="s">
        <v>776</v>
      </c>
      <c r="F50" s="110" t="s">
        <v>777</v>
      </c>
      <c r="G50" s="110" t="s">
        <v>777</v>
      </c>
      <c r="H50" s="213" t="s">
        <v>776</v>
      </c>
      <c r="K50" s="874" t="s">
        <v>778</v>
      </c>
      <c r="L50" s="229" t="s">
        <v>779</v>
      </c>
      <c r="M50" s="110" t="s">
        <v>780</v>
      </c>
      <c r="N50" s="110" t="s">
        <v>781</v>
      </c>
      <c r="O50" s="110" t="s">
        <v>782</v>
      </c>
      <c r="P50" s="110" t="s">
        <v>783</v>
      </c>
      <c r="Q50" s="110" t="s">
        <v>775</v>
      </c>
      <c r="R50" s="126" t="s">
        <v>780</v>
      </c>
    </row>
    <row r="51" spans="2:18" ht="19.5" customHeight="1">
      <c r="B51" s="874"/>
      <c r="C51" s="810"/>
      <c r="D51" s="868"/>
      <c r="E51" s="108" t="s">
        <v>784</v>
      </c>
      <c r="F51" s="108" t="s">
        <v>779</v>
      </c>
      <c r="G51" s="108" t="s">
        <v>785</v>
      </c>
      <c r="H51" s="228" t="s">
        <v>784</v>
      </c>
      <c r="K51" s="874"/>
      <c r="L51" s="175"/>
      <c r="M51" s="125" t="s">
        <v>786</v>
      </c>
      <c r="N51" s="125" t="s">
        <v>787</v>
      </c>
      <c r="O51" s="125" t="s">
        <v>787</v>
      </c>
      <c r="P51" s="108" t="s">
        <v>788</v>
      </c>
      <c r="Q51" s="125" t="s">
        <v>787</v>
      </c>
      <c r="R51" s="230" t="s">
        <v>786</v>
      </c>
    </row>
    <row r="52" spans="2:18" ht="19.5" customHeight="1">
      <c r="B52" s="874"/>
      <c r="C52" s="1109" t="s">
        <v>789</v>
      </c>
      <c r="D52" s="1111" t="s">
        <v>790</v>
      </c>
      <c r="E52" s="1113" t="s">
        <v>791</v>
      </c>
      <c r="F52" s="1118" t="s">
        <v>792</v>
      </c>
      <c r="G52" s="1108" t="s">
        <v>793</v>
      </c>
      <c r="H52" s="1116" t="s">
        <v>791</v>
      </c>
      <c r="K52" s="874"/>
      <c r="L52" s="1039" t="s">
        <v>1359</v>
      </c>
      <c r="M52" s="814" t="s">
        <v>1174</v>
      </c>
      <c r="N52" s="814" t="s">
        <v>794</v>
      </c>
      <c r="O52" s="814" t="s">
        <v>795</v>
      </c>
      <c r="P52" s="231" t="s">
        <v>1374</v>
      </c>
      <c r="Q52" s="814" t="s">
        <v>796</v>
      </c>
      <c r="R52" s="1124" t="s">
        <v>1174</v>
      </c>
    </row>
    <row r="53" spans="2:18" ht="19.5" customHeight="1" thickBot="1">
      <c r="B53" s="875"/>
      <c r="C53" s="1110"/>
      <c r="D53" s="1112"/>
      <c r="E53" s="1114"/>
      <c r="F53" s="1119"/>
      <c r="G53" s="845"/>
      <c r="H53" s="1117"/>
      <c r="K53" s="875"/>
      <c r="L53" s="1040"/>
      <c r="M53" s="866"/>
      <c r="N53" s="866"/>
      <c r="O53" s="866"/>
      <c r="P53" s="232" t="s">
        <v>797</v>
      </c>
      <c r="Q53" s="866"/>
      <c r="R53" s="1042"/>
    </row>
    <row r="54" spans="2:18" ht="24" customHeight="1" hidden="1">
      <c r="B54" s="115" t="s">
        <v>798</v>
      </c>
      <c r="C54" s="154">
        <v>1243</v>
      </c>
      <c r="D54" s="154">
        <v>3330</v>
      </c>
      <c r="E54" s="6" t="s">
        <v>799</v>
      </c>
      <c r="F54" s="154">
        <v>441</v>
      </c>
      <c r="G54" s="154">
        <v>26874</v>
      </c>
      <c r="H54" s="139">
        <v>9360</v>
      </c>
      <c r="K54" s="115" t="s">
        <v>798</v>
      </c>
      <c r="L54" s="154">
        <v>946</v>
      </c>
      <c r="M54" s="154">
        <v>1700</v>
      </c>
      <c r="N54" s="7" t="s">
        <v>799</v>
      </c>
      <c r="O54" s="7" t="s">
        <v>799</v>
      </c>
      <c r="P54" s="127" t="s">
        <v>800</v>
      </c>
      <c r="Q54" s="7" t="s">
        <v>799</v>
      </c>
      <c r="R54" s="7" t="s">
        <v>799</v>
      </c>
    </row>
    <row r="55" spans="2:18" ht="18.75" customHeight="1" hidden="1">
      <c r="B55" s="112" t="s">
        <v>801</v>
      </c>
      <c r="C55" s="154">
        <v>1231</v>
      </c>
      <c r="D55" s="154">
        <v>3241</v>
      </c>
      <c r="E55" s="154">
        <v>10248</v>
      </c>
      <c r="F55" s="154">
        <v>453</v>
      </c>
      <c r="G55" s="154">
        <v>14601</v>
      </c>
      <c r="H55" s="139">
        <v>4220</v>
      </c>
      <c r="K55" s="112" t="s">
        <v>801</v>
      </c>
      <c r="L55" s="154">
        <v>392</v>
      </c>
      <c r="M55" s="154">
        <v>787</v>
      </c>
      <c r="N55" s="7" t="s">
        <v>799</v>
      </c>
      <c r="O55" s="7" t="s">
        <v>799</v>
      </c>
      <c r="P55" s="7" t="s">
        <v>799</v>
      </c>
      <c r="Q55" s="7" t="s">
        <v>799</v>
      </c>
      <c r="R55" s="7" t="s">
        <v>799</v>
      </c>
    </row>
    <row r="56" spans="2:18" ht="24" customHeight="1" hidden="1">
      <c r="B56" s="112" t="s">
        <v>802</v>
      </c>
      <c r="C56" s="154">
        <v>1339</v>
      </c>
      <c r="D56" s="154">
        <v>3581</v>
      </c>
      <c r="E56" s="154">
        <v>9543</v>
      </c>
      <c r="F56" s="154">
        <v>12</v>
      </c>
      <c r="G56" s="154">
        <v>143</v>
      </c>
      <c r="H56" s="139">
        <v>622</v>
      </c>
      <c r="K56" s="112" t="s">
        <v>802</v>
      </c>
      <c r="L56" s="154">
        <v>184</v>
      </c>
      <c r="M56" s="154">
        <v>690</v>
      </c>
      <c r="N56" s="154">
        <v>15</v>
      </c>
      <c r="O56" s="154">
        <v>22</v>
      </c>
      <c r="P56" s="139">
        <v>1392</v>
      </c>
      <c r="Q56" s="154">
        <v>2661</v>
      </c>
      <c r="R56" s="154">
        <v>113018</v>
      </c>
    </row>
    <row r="57" spans="2:16" ht="12" customHeight="1" hidden="1">
      <c r="B57" s="122"/>
      <c r="C57" s="154"/>
      <c r="D57" s="154"/>
      <c r="E57" s="154"/>
      <c r="F57" s="154"/>
      <c r="G57" s="154"/>
      <c r="H57" s="139"/>
      <c r="K57" s="122"/>
      <c r="L57" s="154"/>
      <c r="M57" s="154"/>
      <c r="N57" s="154"/>
      <c r="O57" s="154"/>
      <c r="P57" s="139"/>
    </row>
    <row r="58" spans="2:18" ht="24" customHeight="1" hidden="1">
      <c r="B58" s="112" t="s">
        <v>803</v>
      </c>
      <c r="C58" s="5">
        <v>1549</v>
      </c>
      <c r="D58" s="5">
        <v>4186</v>
      </c>
      <c r="E58" s="154">
        <v>10682</v>
      </c>
      <c r="F58" s="154">
        <v>126</v>
      </c>
      <c r="G58" s="154">
        <v>2563</v>
      </c>
      <c r="H58" s="139">
        <v>3240</v>
      </c>
      <c r="K58" s="112" t="s">
        <v>803</v>
      </c>
      <c r="L58" s="5">
        <v>478</v>
      </c>
      <c r="M58" s="5">
        <v>2135</v>
      </c>
      <c r="N58" s="154">
        <v>11</v>
      </c>
      <c r="O58" s="154">
        <v>16</v>
      </c>
      <c r="P58" s="139">
        <v>1345</v>
      </c>
      <c r="Q58" s="5">
        <v>1704</v>
      </c>
      <c r="R58" s="5">
        <v>112840</v>
      </c>
    </row>
    <row r="59" spans="2:18" ht="24" customHeight="1" hidden="1">
      <c r="B59" s="112" t="s">
        <v>804</v>
      </c>
      <c r="C59" s="5">
        <v>1447</v>
      </c>
      <c r="D59" s="5">
        <v>3866</v>
      </c>
      <c r="E59" s="154">
        <v>67424</v>
      </c>
      <c r="F59" s="154">
        <v>81</v>
      </c>
      <c r="G59" s="154">
        <v>4271</v>
      </c>
      <c r="H59" s="139">
        <v>4754</v>
      </c>
      <c r="K59" s="112" t="s">
        <v>804</v>
      </c>
      <c r="L59" s="5">
        <v>614</v>
      </c>
      <c r="M59" s="5">
        <v>2596</v>
      </c>
      <c r="N59" s="154">
        <v>12</v>
      </c>
      <c r="O59" s="154">
        <v>25</v>
      </c>
      <c r="P59" s="139">
        <v>2039</v>
      </c>
      <c r="Q59" s="5">
        <v>2372</v>
      </c>
      <c r="R59" s="5">
        <v>114223</v>
      </c>
    </row>
    <row r="60" spans="2:18" ht="27.75" customHeight="1" hidden="1">
      <c r="B60" s="112" t="s">
        <v>805</v>
      </c>
      <c r="C60" s="5">
        <v>1601</v>
      </c>
      <c r="D60" s="5">
        <v>3938</v>
      </c>
      <c r="E60" s="154">
        <v>74998</v>
      </c>
      <c r="F60" s="154">
        <v>165</v>
      </c>
      <c r="G60" s="154">
        <v>12722</v>
      </c>
      <c r="H60" s="154">
        <v>8232</v>
      </c>
      <c r="K60" s="112" t="s">
        <v>805</v>
      </c>
      <c r="L60" s="5">
        <v>700</v>
      </c>
      <c r="M60" s="5">
        <v>2446</v>
      </c>
      <c r="N60" s="154">
        <v>26</v>
      </c>
      <c r="O60" s="154">
        <v>41</v>
      </c>
      <c r="P60" s="139">
        <v>154</v>
      </c>
      <c r="Q60" s="5">
        <v>1998</v>
      </c>
      <c r="R60" s="5">
        <v>115301</v>
      </c>
    </row>
    <row r="61" spans="2:18" ht="27.75" customHeight="1">
      <c r="B61" s="112" t="s">
        <v>806</v>
      </c>
      <c r="C61" s="5">
        <v>1866</v>
      </c>
      <c r="D61" s="5">
        <v>5054</v>
      </c>
      <c r="E61" s="154">
        <v>78539</v>
      </c>
      <c r="F61" s="154">
        <v>118</v>
      </c>
      <c r="G61" s="154">
        <v>3968</v>
      </c>
      <c r="H61" s="154">
        <v>3831</v>
      </c>
      <c r="K61" s="112" t="s">
        <v>806</v>
      </c>
      <c r="L61" s="5">
        <v>510</v>
      </c>
      <c r="M61" s="5">
        <v>1808</v>
      </c>
      <c r="N61" s="154">
        <v>27</v>
      </c>
      <c r="O61" s="154">
        <v>32</v>
      </c>
      <c r="P61" s="139">
        <v>219</v>
      </c>
      <c r="Q61" s="5">
        <v>2060</v>
      </c>
      <c r="R61" s="5">
        <v>115916</v>
      </c>
    </row>
    <row r="62" spans="2:18" ht="27.75" customHeight="1">
      <c r="B62" s="112" t="s">
        <v>807</v>
      </c>
      <c r="C62" s="5">
        <v>1569</v>
      </c>
      <c r="D62" s="5">
        <v>3447</v>
      </c>
      <c r="E62" s="154">
        <v>80704</v>
      </c>
      <c r="F62" s="154">
        <v>126</v>
      </c>
      <c r="G62" s="154">
        <v>3567</v>
      </c>
      <c r="H62" s="154">
        <v>2740</v>
      </c>
      <c r="K62" s="112" t="s">
        <v>807</v>
      </c>
      <c r="L62" s="5">
        <v>603</v>
      </c>
      <c r="M62" s="5">
        <v>2448</v>
      </c>
      <c r="N62" s="154">
        <v>19</v>
      </c>
      <c r="O62" s="154">
        <v>27</v>
      </c>
      <c r="P62" s="139">
        <v>130</v>
      </c>
      <c r="Q62" s="154">
        <v>1707</v>
      </c>
      <c r="R62" s="154">
        <v>108314</v>
      </c>
    </row>
    <row r="63" spans="2:18" ht="27.75" customHeight="1">
      <c r="B63" s="112" t="s">
        <v>808</v>
      </c>
      <c r="C63" s="5">
        <v>1881</v>
      </c>
      <c r="D63" s="5">
        <v>5094</v>
      </c>
      <c r="E63" s="5">
        <v>83602</v>
      </c>
      <c r="F63" s="5">
        <v>153</v>
      </c>
      <c r="G63" s="5">
        <v>3018</v>
      </c>
      <c r="H63" s="5">
        <v>2291</v>
      </c>
      <c r="K63" s="112" t="s">
        <v>808</v>
      </c>
      <c r="L63" s="5">
        <v>886</v>
      </c>
      <c r="M63" s="5">
        <v>2966</v>
      </c>
      <c r="N63" s="5">
        <v>23</v>
      </c>
      <c r="O63" s="5">
        <v>12</v>
      </c>
      <c r="P63" s="5">
        <v>91</v>
      </c>
      <c r="Q63" s="154">
        <v>1837</v>
      </c>
      <c r="R63" s="154">
        <v>118670</v>
      </c>
    </row>
    <row r="64" spans="2:18" ht="24.75" customHeight="1" hidden="1">
      <c r="B64" s="218" t="s">
        <v>809</v>
      </c>
      <c r="C64" s="5">
        <v>1593</v>
      </c>
      <c r="D64" s="5">
        <v>4283</v>
      </c>
      <c r="E64" s="5">
        <v>18514</v>
      </c>
      <c r="F64" s="5">
        <v>9</v>
      </c>
      <c r="G64" s="5">
        <v>215</v>
      </c>
      <c r="H64" s="5">
        <v>168</v>
      </c>
      <c r="K64" s="218" t="s">
        <v>809</v>
      </c>
      <c r="L64" s="5">
        <v>226</v>
      </c>
      <c r="M64" s="5">
        <v>872</v>
      </c>
      <c r="N64" s="5">
        <v>24</v>
      </c>
      <c r="O64" s="5">
        <v>28</v>
      </c>
      <c r="P64" s="5">
        <v>25</v>
      </c>
      <c r="Q64" s="233">
        <v>1660</v>
      </c>
      <c r="R64" s="233">
        <v>27129</v>
      </c>
    </row>
    <row r="65" spans="2:18" ht="24.75" customHeight="1" hidden="1">
      <c r="B65" s="218" t="s">
        <v>810</v>
      </c>
      <c r="C65" s="5">
        <v>1711</v>
      </c>
      <c r="D65" s="5">
        <v>5145</v>
      </c>
      <c r="E65" s="5">
        <v>22080</v>
      </c>
      <c r="F65" s="5">
        <v>35</v>
      </c>
      <c r="G65" s="5">
        <v>741</v>
      </c>
      <c r="H65" s="5">
        <v>537</v>
      </c>
      <c r="K65" s="218" t="s">
        <v>810</v>
      </c>
      <c r="L65" s="5">
        <v>260</v>
      </c>
      <c r="M65" s="5">
        <v>852</v>
      </c>
      <c r="N65" s="5">
        <v>23</v>
      </c>
      <c r="O65" s="5">
        <v>19</v>
      </c>
      <c r="P65" s="5">
        <v>15</v>
      </c>
      <c r="Q65" s="154">
        <v>1812</v>
      </c>
      <c r="R65" s="154">
        <v>31205</v>
      </c>
    </row>
    <row r="66" spans="2:18" ht="24.75" customHeight="1" hidden="1">
      <c r="B66" s="218" t="s">
        <v>811</v>
      </c>
      <c r="C66" s="5">
        <v>1842</v>
      </c>
      <c r="D66" s="5">
        <v>4464</v>
      </c>
      <c r="E66" s="5">
        <v>17578</v>
      </c>
      <c r="F66" s="5">
        <v>61</v>
      </c>
      <c r="G66" s="5">
        <v>1190</v>
      </c>
      <c r="H66" s="5">
        <v>869</v>
      </c>
      <c r="K66" s="218" t="s">
        <v>811</v>
      </c>
      <c r="L66" s="5">
        <v>201</v>
      </c>
      <c r="M66" s="5">
        <v>629</v>
      </c>
      <c r="N66" s="5">
        <v>23</v>
      </c>
      <c r="O66" s="5">
        <v>23</v>
      </c>
      <c r="P66" s="5">
        <v>31</v>
      </c>
      <c r="Q66" s="154">
        <v>1836</v>
      </c>
      <c r="R66" s="154">
        <v>30286</v>
      </c>
    </row>
    <row r="67" spans="2:18" ht="24" customHeight="1" hidden="1">
      <c r="B67" s="218" t="s">
        <v>812</v>
      </c>
      <c r="C67" s="5">
        <v>1881</v>
      </c>
      <c r="D67" s="5">
        <v>5094</v>
      </c>
      <c r="E67" s="5">
        <v>25430</v>
      </c>
      <c r="F67" s="5">
        <v>48</v>
      </c>
      <c r="G67" s="5">
        <v>872</v>
      </c>
      <c r="H67" s="5">
        <v>718</v>
      </c>
      <c r="K67" s="218" t="s">
        <v>812</v>
      </c>
      <c r="L67" s="5">
        <v>203</v>
      </c>
      <c r="M67" s="5">
        <v>626</v>
      </c>
      <c r="N67" s="5">
        <v>23</v>
      </c>
      <c r="O67" s="5">
        <v>12</v>
      </c>
      <c r="P67" s="5">
        <v>20</v>
      </c>
      <c r="Q67" s="154">
        <v>1837</v>
      </c>
      <c r="R67" s="154">
        <v>30050</v>
      </c>
    </row>
    <row r="68" spans="2:18" ht="27.75" customHeight="1">
      <c r="B68" s="112" t="s">
        <v>813</v>
      </c>
      <c r="C68" s="30">
        <f>C75</f>
        <v>2408</v>
      </c>
      <c r="D68" s="30">
        <f>D75</f>
        <v>5794</v>
      </c>
      <c r="E68" s="30">
        <f>SUM(E69:E75)</f>
        <v>99554.2</v>
      </c>
      <c r="F68" s="30">
        <f>SUM(F69:F75)</f>
        <v>200</v>
      </c>
      <c r="G68" s="30">
        <f>SUM(G69:G75)</f>
        <v>5225</v>
      </c>
      <c r="H68" s="30">
        <f>SUM(H69:H75)</f>
        <v>3298</v>
      </c>
      <c r="K68" s="112" t="s">
        <v>813</v>
      </c>
      <c r="L68" s="30">
        <v>848</v>
      </c>
      <c r="M68" s="30">
        <v>3031</v>
      </c>
      <c r="N68" s="30">
        <f>N75</f>
        <v>20</v>
      </c>
      <c r="O68" s="30">
        <f>O75</f>
        <v>27</v>
      </c>
      <c r="P68" s="30">
        <f>SUM(P69:P76)</f>
        <v>187</v>
      </c>
      <c r="Q68" s="30">
        <f>Q75</f>
        <v>2006</v>
      </c>
      <c r="R68" s="30">
        <f>SUM(R69:R75)</f>
        <v>134330</v>
      </c>
    </row>
    <row r="69" spans="2:18" ht="13.5" customHeight="1" hidden="1">
      <c r="B69" s="112" t="s">
        <v>809</v>
      </c>
      <c r="C69" s="765">
        <v>2176</v>
      </c>
      <c r="D69" s="900">
        <v>5328</v>
      </c>
      <c r="E69" s="900">
        <v>23070</v>
      </c>
      <c r="F69" s="900">
        <v>40</v>
      </c>
      <c r="G69" s="900">
        <v>1766</v>
      </c>
      <c r="H69" s="900">
        <v>828</v>
      </c>
      <c r="K69" s="112" t="s">
        <v>809</v>
      </c>
      <c r="L69" s="765">
        <v>204</v>
      </c>
      <c r="M69" s="900">
        <v>525</v>
      </c>
      <c r="N69" s="900">
        <v>21</v>
      </c>
      <c r="O69" s="900">
        <v>31</v>
      </c>
      <c r="P69" s="900">
        <v>36</v>
      </c>
      <c r="Q69" s="900">
        <v>1958</v>
      </c>
      <c r="R69" s="900">
        <v>32943</v>
      </c>
    </row>
    <row r="70" spans="2:18" ht="13.5" customHeight="1" hidden="1">
      <c r="B70" s="122" t="s">
        <v>1333</v>
      </c>
      <c r="C70" s="884"/>
      <c r="D70" s="879"/>
      <c r="E70" s="879"/>
      <c r="F70" s="879"/>
      <c r="G70" s="879"/>
      <c r="H70" s="879"/>
      <c r="K70" s="122" t="s">
        <v>1333</v>
      </c>
      <c r="L70" s="765"/>
      <c r="M70" s="900"/>
      <c r="N70" s="900"/>
      <c r="O70" s="900"/>
      <c r="P70" s="900"/>
      <c r="Q70" s="900"/>
      <c r="R70" s="900"/>
    </row>
    <row r="71" spans="2:18" ht="13.5" customHeight="1" hidden="1">
      <c r="B71" s="112" t="s">
        <v>810</v>
      </c>
      <c r="C71" s="765">
        <v>2267</v>
      </c>
      <c r="D71" s="900">
        <v>5418</v>
      </c>
      <c r="E71" s="900">
        <v>25338</v>
      </c>
      <c r="F71" s="900">
        <v>65</v>
      </c>
      <c r="G71" s="900">
        <v>1347</v>
      </c>
      <c r="H71" s="900">
        <v>1011</v>
      </c>
      <c r="K71" s="112" t="s">
        <v>810</v>
      </c>
      <c r="L71" s="765">
        <v>207</v>
      </c>
      <c r="M71" s="900">
        <v>730</v>
      </c>
      <c r="N71" s="900">
        <v>21</v>
      </c>
      <c r="O71" s="900">
        <v>30</v>
      </c>
      <c r="P71" s="900">
        <v>60</v>
      </c>
      <c r="Q71" s="900">
        <v>1982</v>
      </c>
      <c r="R71" s="900">
        <v>33994</v>
      </c>
    </row>
    <row r="72" spans="2:18" ht="13.5" customHeight="1" hidden="1">
      <c r="B72" s="122" t="s">
        <v>1334</v>
      </c>
      <c r="C72" s="765"/>
      <c r="D72" s="900"/>
      <c r="E72" s="900"/>
      <c r="F72" s="900"/>
      <c r="G72" s="900"/>
      <c r="H72" s="900"/>
      <c r="K72" s="122" t="s">
        <v>1334</v>
      </c>
      <c r="L72" s="765"/>
      <c r="M72" s="900"/>
      <c r="N72" s="900"/>
      <c r="O72" s="900"/>
      <c r="P72" s="900"/>
      <c r="Q72" s="900"/>
      <c r="R72" s="900"/>
    </row>
    <row r="73" spans="2:18" ht="13.5" customHeight="1" hidden="1">
      <c r="B73" s="112" t="s">
        <v>811</v>
      </c>
      <c r="C73" s="765">
        <v>2324</v>
      </c>
      <c r="D73" s="900">
        <v>5519</v>
      </c>
      <c r="E73" s="900">
        <v>22843</v>
      </c>
      <c r="F73" s="900">
        <v>52</v>
      </c>
      <c r="G73" s="900">
        <v>1124</v>
      </c>
      <c r="H73" s="900">
        <v>807</v>
      </c>
      <c r="K73" s="112" t="s">
        <v>811</v>
      </c>
      <c r="L73" s="765">
        <v>201</v>
      </c>
      <c r="M73" s="900">
        <v>743</v>
      </c>
      <c r="N73" s="900">
        <v>18</v>
      </c>
      <c r="O73" s="900">
        <v>30</v>
      </c>
      <c r="P73" s="900">
        <v>39</v>
      </c>
      <c r="Q73" s="900">
        <v>2019</v>
      </c>
      <c r="R73" s="900">
        <v>33822</v>
      </c>
    </row>
    <row r="74" spans="2:18" ht="13.5" customHeight="1" hidden="1">
      <c r="B74" s="122" t="s">
        <v>1335</v>
      </c>
      <c r="C74" s="765"/>
      <c r="D74" s="900"/>
      <c r="E74" s="900"/>
      <c r="F74" s="900"/>
      <c r="G74" s="900"/>
      <c r="H74" s="900"/>
      <c r="K74" s="122" t="s">
        <v>1335</v>
      </c>
      <c r="L74" s="765"/>
      <c r="M74" s="900"/>
      <c r="N74" s="900"/>
      <c r="O74" s="900"/>
      <c r="P74" s="900"/>
      <c r="Q74" s="900"/>
      <c r="R74" s="900"/>
    </row>
    <row r="75" spans="2:18" ht="13.5" customHeight="1" hidden="1">
      <c r="B75" s="112" t="s">
        <v>812</v>
      </c>
      <c r="C75" s="765">
        <v>2408</v>
      </c>
      <c r="D75" s="900">
        <v>5794</v>
      </c>
      <c r="E75" s="900">
        <v>28303.2</v>
      </c>
      <c r="F75" s="900">
        <v>43</v>
      </c>
      <c r="G75" s="900">
        <v>988</v>
      </c>
      <c r="H75" s="900">
        <v>652</v>
      </c>
      <c r="K75" s="112" t="s">
        <v>812</v>
      </c>
      <c r="L75" s="765">
        <v>238</v>
      </c>
      <c r="M75" s="900">
        <v>1039</v>
      </c>
      <c r="N75" s="900">
        <v>20</v>
      </c>
      <c r="O75" s="900">
        <v>27</v>
      </c>
      <c r="P75" s="900">
        <v>52</v>
      </c>
      <c r="Q75" s="900">
        <v>2006</v>
      </c>
      <c r="R75" s="900">
        <v>33571</v>
      </c>
    </row>
    <row r="76" spans="2:18" ht="13.5" customHeight="1" hidden="1">
      <c r="B76" s="122" t="s">
        <v>1336</v>
      </c>
      <c r="C76" s="765"/>
      <c r="D76" s="900"/>
      <c r="E76" s="900"/>
      <c r="F76" s="900"/>
      <c r="G76" s="900"/>
      <c r="H76" s="900"/>
      <c r="K76" s="122" t="s">
        <v>1336</v>
      </c>
      <c r="L76" s="765"/>
      <c r="M76" s="900"/>
      <c r="N76" s="900"/>
      <c r="O76" s="900"/>
      <c r="P76" s="900"/>
      <c r="Q76" s="900"/>
      <c r="R76" s="900"/>
    </row>
    <row r="77" spans="2:18" ht="27.75" customHeight="1">
      <c r="B77" s="112" t="s">
        <v>814</v>
      </c>
      <c r="C77" s="168">
        <f>C84</f>
        <v>2663</v>
      </c>
      <c r="D77" s="5">
        <f>D84</f>
        <v>6462</v>
      </c>
      <c r="E77" s="5">
        <f>SUM(E78:E85)</f>
        <v>106118.7</v>
      </c>
      <c r="F77" s="5">
        <f>SUM(F78:F85)</f>
        <v>280</v>
      </c>
      <c r="G77" s="5">
        <f>SUM(G78:G85)</f>
        <v>5770</v>
      </c>
      <c r="H77" s="5">
        <f>SUM(H78:H85)</f>
        <v>5020.722</v>
      </c>
      <c r="I77" s="99"/>
      <c r="K77" s="112" t="s">
        <v>814</v>
      </c>
      <c r="L77" s="168">
        <f>SUM(L78:L85)</f>
        <v>866</v>
      </c>
      <c r="M77" s="5">
        <v>3163</v>
      </c>
      <c r="N77" s="5">
        <f>N84</f>
        <v>23</v>
      </c>
      <c r="O77" s="5">
        <f>O84</f>
        <v>34</v>
      </c>
      <c r="P77" s="5">
        <f>SUM(P78:P85)</f>
        <v>342</v>
      </c>
      <c r="Q77" s="5">
        <f>Q84</f>
        <v>1876</v>
      </c>
      <c r="R77" s="5">
        <f>SUM(R78:R85)</f>
        <v>130016</v>
      </c>
    </row>
    <row r="78" spans="2:18" ht="13.5" customHeight="1" hidden="1">
      <c r="B78" s="112" t="s">
        <v>815</v>
      </c>
      <c r="C78" s="765">
        <v>2417</v>
      </c>
      <c r="D78" s="900">
        <v>5980</v>
      </c>
      <c r="E78" s="900">
        <v>24848.9</v>
      </c>
      <c r="F78" s="900">
        <v>46</v>
      </c>
      <c r="G78" s="900">
        <v>892</v>
      </c>
      <c r="H78" s="900">
        <v>731.722</v>
      </c>
      <c r="I78" s="99"/>
      <c r="K78" s="112" t="s">
        <v>815</v>
      </c>
      <c r="L78" s="1087">
        <v>203</v>
      </c>
      <c r="M78" s="1087">
        <v>798</v>
      </c>
      <c r="N78" s="1087">
        <v>20</v>
      </c>
      <c r="O78" s="1087">
        <v>27</v>
      </c>
      <c r="P78" s="1087">
        <v>62</v>
      </c>
      <c r="Q78" s="1087">
        <v>1971</v>
      </c>
      <c r="R78" s="1087">
        <v>32707</v>
      </c>
    </row>
    <row r="79" spans="2:18" ht="13.5" customHeight="1" hidden="1">
      <c r="B79" s="122" t="s">
        <v>1333</v>
      </c>
      <c r="C79" s="884"/>
      <c r="D79" s="879"/>
      <c r="E79" s="879"/>
      <c r="F79" s="879"/>
      <c r="G79" s="879"/>
      <c r="H79" s="879"/>
      <c r="I79" s="99"/>
      <c r="K79" s="122" t="s">
        <v>1333</v>
      </c>
      <c r="L79" s="1082"/>
      <c r="M79" s="1082"/>
      <c r="N79" s="1082"/>
      <c r="O79" s="1082"/>
      <c r="P79" s="1082"/>
      <c r="Q79" s="1082"/>
      <c r="R79" s="1082"/>
    </row>
    <row r="80" spans="2:18" ht="13.5" customHeight="1" hidden="1">
      <c r="B80" s="112" t="s">
        <v>816</v>
      </c>
      <c r="C80" s="765">
        <v>2511</v>
      </c>
      <c r="D80" s="900">
        <v>6116</v>
      </c>
      <c r="E80" s="900">
        <v>26883.8</v>
      </c>
      <c r="F80" s="900">
        <v>72</v>
      </c>
      <c r="G80" s="900">
        <v>1576</v>
      </c>
      <c r="H80" s="900">
        <v>1419</v>
      </c>
      <c r="I80" s="99"/>
      <c r="K80" s="112" t="s">
        <v>816</v>
      </c>
      <c r="L80" s="815">
        <v>243</v>
      </c>
      <c r="M80" s="885">
        <v>841</v>
      </c>
      <c r="N80" s="885">
        <v>21</v>
      </c>
      <c r="O80" s="885">
        <v>31</v>
      </c>
      <c r="P80" s="885">
        <v>64</v>
      </c>
      <c r="Q80" s="885">
        <v>1945</v>
      </c>
      <c r="R80" s="885">
        <v>32908</v>
      </c>
    </row>
    <row r="81" spans="2:18" ht="13.5" customHeight="1" hidden="1">
      <c r="B81" s="122" t="s">
        <v>1334</v>
      </c>
      <c r="C81" s="884"/>
      <c r="D81" s="879"/>
      <c r="E81" s="879"/>
      <c r="F81" s="879"/>
      <c r="G81" s="879"/>
      <c r="H81" s="879"/>
      <c r="I81" s="99"/>
      <c r="K81" s="122" t="s">
        <v>1334</v>
      </c>
      <c r="L81" s="1085"/>
      <c r="M81" s="1082"/>
      <c r="N81" s="1082"/>
      <c r="O81" s="1082"/>
      <c r="P81" s="1082"/>
      <c r="Q81" s="1082"/>
      <c r="R81" s="1082"/>
    </row>
    <row r="82" spans="2:18" ht="13.5" customHeight="1" hidden="1">
      <c r="B82" s="112" t="s">
        <v>817</v>
      </c>
      <c r="C82" s="765">
        <v>2620</v>
      </c>
      <c r="D82" s="900">
        <v>6210</v>
      </c>
      <c r="E82" s="900">
        <v>23549</v>
      </c>
      <c r="F82" s="900">
        <v>67</v>
      </c>
      <c r="G82" s="900">
        <v>1228</v>
      </c>
      <c r="H82" s="900">
        <v>1116</v>
      </c>
      <c r="I82" s="99"/>
      <c r="K82" s="112" t="s">
        <v>817</v>
      </c>
      <c r="L82" s="815">
        <v>230</v>
      </c>
      <c r="M82" s="885">
        <v>787</v>
      </c>
      <c r="N82" s="885">
        <v>21</v>
      </c>
      <c r="O82" s="885">
        <v>27</v>
      </c>
      <c r="P82" s="885">
        <v>44</v>
      </c>
      <c r="Q82" s="885">
        <v>1895</v>
      </c>
      <c r="R82" s="885">
        <v>32343</v>
      </c>
    </row>
    <row r="83" spans="2:18" ht="13.5" customHeight="1" hidden="1">
      <c r="B83" s="122" t="s">
        <v>1335</v>
      </c>
      <c r="C83" s="884"/>
      <c r="D83" s="879"/>
      <c r="E83" s="879"/>
      <c r="F83" s="879"/>
      <c r="G83" s="879"/>
      <c r="H83" s="879"/>
      <c r="I83" s="99"/>
      <c r="K83" s="122" t="s">
        <v>1335</v>
      </c>
      <c r="L83" s="1085"/>
      <c r="M83" s="1082"/>
      <c r="N83" s="1082"/>
      <c r="O83" s="1082"/>
      <c r="P83" s="1082"/>
      <c r="Q83" s="1082"/>
      <c r="R83" s="1082"/>
    </row>
    <row r="84" spans="2:18" ht="13.5" customHeight="1" hidden="1">
      <c r="B84" s="112" t="s">
        <v>818</v>
      </c>
      <c r="C84" s="765">
        <v>2663</v>
      </c>
      <c r="D84" s="900">
        <v>6462</v>
      </c>
      <c r="E84" s="900">
        <v>30837</v>
      </c>
      <c r="F84" s="900">
        <v>95</v>
      </c>
      <c r="G84" s="900">
        <v>2074</v>
      </c>
      <c r="H84" s="900">
        <v>1754</v>
      </c>
      <c r="I84" s="99"/>
      <c r="K84" s="112" t="s">
        <v>818</v>
      </c>
      <c r="L84" s="765">
        <v>190</v>
      </c>
      <c r="M84" s="900">
        <v>738</v>
      </c>
      <c r="N84" s="900">
        <v>23</v>
      </c>
      <c r="O84" s="900">
        <v>34</v>
      </c>
      <c r="P84" s="900">
        <v>172</v>
      </c>
      <c r="Q84" s="900">
        <v>1876</v>
      </c>
      <c r="R84" s="900">
        <v>32058</v>
      </c>
    </row>
    <row r="85" spans="2:18" ht="13.5" customHeight="1" hidden="1">
      <c r="B85" s="122" t="s">
        <v>1336</v>
      </c>
      <c r="C85" s="884"/>
      <c r="D85" s="879"/>
      <c r="E85" s="879"/>
      <c r="F85" s="879"/>
      <c r="G85" s="879"/>
      <c r="H85" s="879"/>
      <c r="I85" s="99"/>
      <c r="K85" s="122" t="s">
        <v>1336</v>
      </c>
      <c r="L85" s="765"/>
      <c r="M85" s="900"/>
      <c r="N85" s="900"/>
      <c r="O85" s="900"/>
      <c r="P85" s="900"/>
      <c r="Q85" s="900"/>
      <c r="R85" s="900"/>
    </row>
    <row r="86" spans="2:18" ht="27.75" customHeight="1">
      <c r="B86" s="112" t="s">
        <v>819</v>
      </c>
      <c r="C86" s="5">
        <f>C93</f>
        <v>3034</v>
      </c>
      <c r="D86" s="5">
        <f>D93</f>
        <v>7142</v>
      </c>
      <c r="E86" s="5">
        <f>SUM(E87:E94)</f>
        <v>122575</v>
      </c>
      <c r="F86" s="5">
        <f>SUM(F87:F94)</f>
        <v>273</v>
      </c>
      <c r="G86" s="5">
        <f>SUM(G87:G94)</f>
        <v>7165</v>
      </c>
      <c r="H86" s="5">
        <f>SUM(H87:H94)</f>
        <v>7149</v>
      </c>
      <c r="I86" s="99"/>
      <c r="K86" s="112" t="s">
        <v>819</v>
      </c>
      <c r="L86" s="168">
        <f>SUM(L87:L94)</f>
        <v>826</v>
      </c>
      <c r="M86" s="5">
        <f>SUM(M87:M94)</f>
        <v>2842</v>
      </c>
      <c r="N86" s="5">
        <f>N93</f>
        <v>24</v>
      </c>
      <c r="O86" s="5">
        <f>O93</f>
        <v>33</v>
      </c>
      <c r="P86" s="5">
        <f>SUM(P87:P94)</f>
        <v>1985</v>
      </c>
      <c r="Q86" s="5">
        <f>Q93</f>
        <v>1819</v>
      </c>
      <c r="R86" s="5">
        <f>SUM(R87:R94)</f>
        <v>127347</v>
      </c>
    </row>
    <row r="87" spans="2:18" ht="13.5" customHeight="1" hidden="1">
      <c r="B87" s="112" t="s">
        <v>815</v>
      </c>
      <c r="C87" s="765">
        <v>2792</v>
      </c>
      <c r="D87" s="900">
        <v>6505</v>
      </c>
      <c r="E87" s="900">
        <v>29016</v>
      </c>
      <c r="F87" s="900">
        <v>58</v>
      </c>
      <c r="G87" s="900">
        <v>1882</v>
      </c>
      <c r="H87" s="900">
        <v>1474</v>
      </c>
      <c r="I87" s="99"/>
      <c r="K87" s="112" t="s">
        <v>815</v>
      </c>
      <c r="L87" s="815">
        <v>187</v>
      </c>
      <c r="M87" s="885">
        <v>657</v>
      </c>
      <c r="N87" s="885">
        <v>23</v>
      </c>
      <c r="O87" s="885">
        <v>34</v>
      </c>
      <c r="P87" s="885">
        <v>168</v>
      </c>
      <c r="Q87" s="885">
        <v>1803</v>
      </c>
      <c r="R87" s="885">
        <v>31350</v>
      </c>
    </row>
    <row r="88" spans="2:18" ht="13.5" customHeight="1" hidden="1">
      <c r="B88" s="122" t="s">
        <v>1333</v>
      </c>
      <c r="C88" s="884"/>
      <c r="D88" s="879"/>
      <c r="E88" s="879"/>
      <c r="F88" s="879"/>
      <c r="G88" s="879"/>
      <c r="H88" s="879"/>
      <c r="I88" s="99"/>
      <c r="K88" s="122" t="s">
        <v>1333</v>
      </c>
      <c r="L88" s="1085"/>
      <c r="M88" s="1086"/>
      <c r="N88" s="1082"/>
      <c r="O88" s="1082"/>
      <c r="P88" s="1082"/>
      <c r="Q88" s="1082"/>
      <c r="R88" s="1082"/>
    </row>
    <row r="89" spans="2:18" ht="13.5" customHeight="1" hidden="1">
      <c r="B89" s="112" t="s">
        <v>816</v>
      </c>
      <c r="C89" s="765">
        <v>2876</v>
      </c>
      <c r="D89" s="900">
        <v>6730</v>
      </c>
      <c r="E89" s="900">
        <v>31199</v>
      </c>
      <c r="F89" s="900">
        <v>70</v>
      </c>
      <c r="G89" s="900">
        <v>1828</v>
      </c>
      <c r="H89" s="900">
        <v>1973</v>
      </c>
      <c r="I89" s="99"/>
      <c r="K89" s="112" t="s">
        <v>816</v>
      </c>
      <c r="L89" s="815">
        <v>202</v>
      </c>
      <c r="M89" s="885">
        <v>687</v>
      </c>
      <c r="N89" s="885">
        <v>24</v>
      </c>
      <c r="O89" s="885">
        <v>30</v>
      </c>
      <c r="P89" s="885">
        <v>52</v>
      </c>
      <c r="Q89" s="885">
        <v>1821</v>
      </c>
      <c r="R89" s="885">
        <v>32178</v>
      </c>
    </row>
    <row r="90" spans="2:18" ht="13.5" customHeight="1" hidden="1">
      <c r="B90" s="122" t="s">
        <v>1334</v>
      </c>
      <c r="C90" s="884"/>
      <c r="D90" s="879"/>
      <c r="E90" s="879"/>
      <c r="F90" s="879"/>
      <c r="G90" s="879"/>
      <c r="H90" s="879"/>
      <c r="I90" s="99"/>
      <c r="K90" s="122" t="s">
        <v>1334</v>
      </c>
      <c r="L90" s="1085"/>
      <c r="M90" s="1086"/>
      <c r="N90" s="1082"/>
      <c r="O90" s="1082"/>
      <c r="P90" s="1082"/>
      <c r="Q90" s="1082"/>
      <c r="R90" s="1082"/>
    </row>
    <row r="91" spans="2:18" ht="13.5" customHeight="1" hidden="1">
      <c r="B91" s="112" t="s">
        <v>817</v>
      </c>
      <c r="C91" s="765">
        <v>2974</v>
      </c>
      <c r="D91" s="900">
        <v>6945</v>
      </c>
      <c r="E91" s="900">
        <v>27598</v>
      </c>
      <c r="F91" s="900">
        <v>89</v>
      </c>
      <c r="G91" s="900">
        <v>2342</v>
      </c>
      <c r="H91" s="900">
        <v>2509</v>
      </c>
      <c r="I91" s="99"/>
      <c r="K91" s="112" t="s">
        <v>817</v>
      </c>
      <c r="L91" s="815">
        <v>248</v>
      </c>
      <c r="M91" s="885">
        <v>852</v>
      </c>
      <c r="N91" s="885">
        <v>24</v>
      </c>
      <c r="O91" s="885">
        <v>34</v>
      </c>
      <c r="P91" s="885">
        <v>885</v>
      </c>
      <c r="Q91" s="885">
        <v>1815</v>
      </c>
      <c r="R91" s="885">
        <v>31980</v>
      </c>
    </row>
    <row r="92" spans="2:18" ht="13.5" customHeight="1" hidden="1">
      <c r="B92" s="122" t="s">
        <v>1335</v>
      </c>
      <c r="C92" s="884"/>
      <c r="D92" s="879"/>
      <c r="E92" s="879"/>
      <c r="F92" s="879"/>
      <c r="G92" s="879"/>
      <c r="H92" s="879"/>
      <c r="I92" s="99"/>
      <c r="K92" s="122" t="s">
        <v>1335</v>
      </c>
      <c r="L92" s="1085"/>
      <c r="M92" s="1086"/>
      <c r="N92" s="1082"/>
      <c r="O92" s="1082"/>
      <c r="P92" s="1082"/>
      <c r="Q92" s="1082"/>
      <c r="R92" s="1082"/>
    </row>
    <row r="93" spans="2:18" ht="13.5" customHeight="1" hidden="1">
      <c r="B93" s="112" t="s">
        <v>818</v>
      </c>
      <c r="C93" s="765">
        <v>3034</v>
      </c>
      <c r="D93" s="900">
        <v>7142</v>
      </c>
      <c r="E93" s="900">
        <v>34762</v>
      </c>
      <c r="F93" s="900">
        <v>56</v>
      </c>
      <c r="G93" s="900">
        <v>1113</v>
      </c>
      <c r="H93" s="900">
        <v>1193</v>
      </c>
      <c r="I93" s="99"/>
      <c r="K93" s="112" t="s">
        <v>818</v>
      </c>
      <c r="L93" s="815">
        <v>189</v>
      </c>
      <c r="M93" s="885">
        <v>646</v>
      </c>
      <c r="N93" s="885">
        <v>24</v>
      </c>
      <c r="O93" s="885">
        <v>33</v>
      </c>
      <c r="P93" s="885">
        <v>880</v>
      </c>
      <c r="Q93" s="885">
        <v>1819</v>
      </c>
      <c r="R93" s="885">
        <v>31839</v>
      </c>
    </row>
    <row r="94" spans="2:18" ht="0.75" customHeight="1">
      <c r="B94" s="122" t="s">
        <v>1336</v>
      </c>
      <c r="C94" s="884"/>
      <c r="D94" s="879"/>
      <c r="E94" s="879"/>
      <c r="F94" s="879"/>
      <c r="G94" s="879"/>
      <c r="H94" s="879"/>
      <c r="I94" s="99"/>
      <c r="K94" s="122" t="s">
        <v>1336</v>
      </c>
      <c r="L94" s="1085"/>
      <c r="M94" s="1086"/>
      <c r="N94" s="1082"/>
      <c r="O94" s="1082"/>
      <c r="P94" s="1082"/>
      <c r="Q94" s="1082"/>
      <c r="R94" s="1082"/>
    </row>
    <row r="95" spans="2:18" ht="27.75" customHeight="1">
      <c r="B95" s="112" t="s">
        <v>820</v>
      </c>
      <c r="C95" s="5">
        <f>C102</f>
        <v>2819</v>
      </c>
      <c r="D95" s="5">
        <f>D102</f>
        <v>6156</v>
      </c>
      <c r="E95" s="5">
        <f>SUM(E96:E103)</f>
        <v>108527</v>
      </c>
      <c r="F95" s="5">
        <f>SUM(F96:F103)</f>
        <v>372</v>
      </c>
      <c r="G95" s="5">
        <f>SUM(G96:G103)</f>
        <v>8632</v>
      </c>
      <c r="H95" s="5">
        <f>SUM(H96:H103)</f>
        <v>10052</v>
      </c>
      <c r="I95" s="99"/>
      <c r="K95" s="112" t="s">
        <v>820</v>
      </c>
      <c r="L95" s="158">
        <f>SUM(L96:L103)</f>
        <v>925</v>
      </c>
      <c r="M95" s="158">
        <f>SUM(M96:M103)</f>
        <v>3257</v>
      </c>
      <c r="N95" s="158">
        <f>N102</f>
        <v>18</v>
      </c>
      <c r="O95" s="158">
        <f>O102</f>
        <v>30</v>
      </c>
      <c r="P95" s="158"/>
      <c r="Q95" s="158">
        <f>Q102</f>
        <v>1772</v>
      </c>
      <c r="R95" s="158">
        <f>SUM(R96:R103)</f>
        <v>126149</v>
      </c>
    </row>
    <row r="96" spans="2:18" ht="13.5" customHeight="1" hidden="1">
      <c r="B96" s="112" t="s">
        <v>815</v>
      </c>
      <c r="C96" s="765">
        <v>2590</v>
      </c>
      <c r="D96" s="900">
        <v>5547</v>
      </c>
      <c r="E96" s="900">
        <v>25399</v>
      </c>
      <c r="F96" s="900">
        <v>78</v>
      </c>
      <c r="G96" s="900">
        <v>1611</v>
      </c>
      <c r="H96" s="900">
        <v>1853</v>
      </c>
      <c r="I96" s="99"/>
      <c r="K96" s="112" t="s">
        <v>815</v>
      </c>
      <c r="L96" s="815">
        <v>245</v>
      </c>
      <c r="M96" s="885">
        <v>839</v>
      </c>
      <c r="N96" s="885">
        <v>24</v>
      </c>
      <c r="O96" s="885">
        <v>35</v>
      </c>
      <c r="P96" s="885"/>
      <c r="Q96" s="885">
        <v>1791</v>
      </c>
      <c r="R96" s="885">
        <v>31298</v>
      </c>
    </row>
    <row r="97" spans="2:18" ht="13.5" customHeight="1" hidden="1">
      <c r="B97" s="122" t="s">
        <v>1333</v>
      </c>
      <c r="C97" s="884"/>
      <c r="D97" s="879"/>
      <c r="E97" s="879"/>
      <c r="F97" s="879"/>
      <c r="G97" s="879"/>
      <c r="H97" s="879"/>
      <c r="I97" s="99"/>
      <c r="K97" s="122" t="s">
        <v>1333</v>
      </c>
      <c r="L97" s="1083"/>
      <c r="M97" s="1079"/>
      <c r="N97" s="1082"/>
      <c r="O97" s="1082"/>
      <c r="P97" s="1082"/>
      <c r="Q97" s="1082"/>
      <c r="R97" s="1082"/>
    </row>
    <row r="98" spans="2:18" ht="13.5" customHeight="1" hidden="1">
      <c r="B98" s="112" t="s">
        <v>816</v>
      </c>
      <c r="C98" s="765">
        <v>2683</v>
      </c>
      <c r="D98" s="900">
        <v>5755</v>
      </c>
      <c r="E98" s="900">
        <v>27440</v>
      </c>
      <c r="F98" s="900">
        <v>89</v>
      </c>
      <c r="G98" s="900">
        <v>2053</v>
      </c>
      <c r="H98" s="900">
        <v>2250</v>
      </c>
      <c r="I98" s="99"/>
      <c r="K98" s="112" t="s">
        <v>816</v>
      </c>
      <c r="L98" s="815">
        <v>241</v>
      </c>
      <c r="M98" s="885">
        <v>868</v>
      </c>
      <c r="N98" s="885">
        <v>28</v>
      </c>
      <c r="O98" s="885">
        <v>32</v>
      </c>
      <c r="P98" s="885"/>
      <c r="Q98" s="885">
        <v>1810</v>
      </c>
      <c r="R98" s="885">
        <v>31953</v>
      </c>
    </row>
    <row r="99" spans="2:18" ht="13.5" customHeight="1" hidden="1">
      <c r="B99" s="122" t="s">
        <v>1334</v>
      </c>
      <c r="C99" s="884"/>
      <c r="D99" s="879"/>
      <c r="E99" s="879"/>
      <c r="F99" s="879"/>
      <c r="G99" s="879"/>
      <c r="H99" s="879"/>
      <c r="I99" s="99"/>
      <c r="K99" s="122" t="s">
        <v>1334</v>
      </c>
      <c r="L99" s="1083"/>
      <c r="M99" s="1079"/>
      <c r="N99" s="1082"/>
      <c r="O99" s="1082"/>
      <c r="P99" s="1082"/>
      <c r="Q99" s="1082"/>
      <c r="R99" s="1082"/>
    </row>
    <row r="100" spans="2:18" ht="13.5" customHeight="1" hidden="1">
      <c r="B100" s="112" t="s">
        <v>817</v>
      </c>
      <c r="C100" s="765">
        <v>2770</v>
      </c>
      <c r="D100" s="900">
        <v>6020</v>
      </c>
      <c r="E100" s="900">
        <v>25108</v>
      </c>
      <c r="F100" s="900">
        <v>100</v>
      </c>
      <c r="G100" s="900">
        <v>2324</v>
      </c>
      <c r="H100" s="900">
        <v>2863</v>
      </c>
      <c r="I100" s="99"/>
      <c r="K100" s="112" t="s">
        <v>817</v>
      </c>
      <c r="L100" s="815">
        <v>252</v>
      </c>
      <c r="M100" s="885">
        <v>932</v>
      </c>
      <c r="N100" s="885">
        <v>21</v>
      </c>
      <c r="O100" s="885">
        <v>28</v>
      </c>
      <c r="P100" s="885"/>
      <c r="Q100" s="885">
        <v>1790</v>
      </c>
      <c r="R100" s="885">
        <v>31665</v>
      </c>
    </row>
    <row r="101" spans="2:18" ht="13.5" customHeight="1" hidden="1">
      <c r="B101" s="122" t="s">
        <v>1335</v>
      </c>
      <c r="C101" s="884"/>
      <c r="D101" s="879"/>
      <c r="E101" s="879"/>
      <c r="F101" s="879"/>
      <c r="G101" s="879"/>
      <c r="H101" s="879"/>
      <c r="I101" s="99"/>
      <c r="K101" s="122" t="s">
        <v>1335</v>
      </c>
      <c r="L101" s="1083"/>
      <c r="M101" s="1079"/>
      <c r="N101" s="1082"/>
      <c r="O101" s="1082"/>
      <c r="P101" s="1082"/>
      <c r="Q101" s="1082"/>
      <c r="R101" s="1082"/>
    </row>
    <row r="102" spans="2:18" ht="13.5" customHeight="1" hidden="1">
      <c r="B102" s="112" t="s">
        <v>818</v>
      </c>
      <c r="C102" s="765">
        <v>2819</v>
      </c>
      <c r="D102" s="900">
        <v>6156</v>
      </c>
      <c r="E102" s="900">
        <v>30580</v>
      </c>
      <c r="F102" s="900">
        <v>105</v>
      </c>
      <c r="G102" s="900">
        <v>2644</v>
      </c>
      <c r="H102" s="900">
        <v>3086</v>
      </c>
      <c r="I102" s="99"/>
      <c r="K102" s="112" t="s">
        <v>818</v>
      </c>
      <c r="L102" s="815">
        <v>187</v>
      </c>
      <c r="M102" s="885">
        <v>618</v>
      </c>
      <c r="N102" s="885">
        <v>18</v>
      </c>
      <c r="O102" s="885">
        <v>30</v>
      </c>
      <c r="P102" s="885"/>
      <c r="Q102" s="885">
        <v>1772</v>
      </c>
      <c r="R102" s="885">
        <v>31233</v>
      </c>
    </row>
    <row r="103" spans="2:18" ht="13.5" customHeight="1" hidden="1">
      <c r="B103" s="122" t="s">
        <v>1336</v>
      </c>
      <c r="C103" s="884"/>
      <c r="D103" s="879"/>
      <c r="E103" s="879"/>
      <c r="F103" s="879"/>
      <c r="G103" s="879"/>
      <c r="H103" s="879"/>
      <c r="I103" s="99"/>
      <c r="K103" s="122" t="s">
        <v>1336</v>
      </c>
      <c r="L103" s="1083"/>
      <c r="M103" s="1079"/>
      <c r="N103" s="1082"/>
      <c r="O103" s="1082"/>
      <c r="P103" s="1082"/>
      <c r="Q103" s="1082"/>
      <c r="R103" s="1082"/>
    </row>
    <row r="104" spans="2:18" s="99" customFormat="1" ht="27.75" customHeight="1">
      <c r="B104" s="112" t="s">
        <v>821</v>
      </c>
      <c r="C104" s="168">
        <v>2945</v>
      </c>
      <c r="D104" s="5">
        <v>6579</v>
      </c>
      <c r="E104" s="30">
        <f>SUM(E105:E112)</f>
        <v>121051</v>
      </c>
      <c r="F104" s="30">
        <f>SUM(F105:F112)</f>
        <v>466</v>
      </c>
      <c r="G104" s="30">
        <f>SUM(G105:G112)</f>
        <v>9396</v>
      </c>
      <c r="H104" s="30">
        <f>SUM(H105:H112)</f>
        <v>11586</v>
      </c>
      <c r="K104" s="112" t="s">
        <v>821</v>
      </c>
      <c r="L104" s="158">
        <f>SUM(L105:L111)</f>
        <v>860</v>
      </c>
      <c r="M104" s="158">
        <f>SUM(M105:M111)</f>
        <v>3099</v>
      </c>
      <c r="N104" s="158">
        <v>18</v>
      </c>
      <c r="O104" s="158">
        <v>24</v>
      </c>
      <c r="P104" s="158"/>
      <c r="Q104" s="158">
        <v>1740</v>
      </c>
      <c r="R104" s="158">
        <f>SUM(R105:R111)</f>
        <v>122121</v>
      </c>
    </row>
    <row r="105" spans="2:18" ht="13.5" customHeight="1" hidden="1">
      <c r="B105" s="112" t="s">
        <v>815</v>
      </c>
      <c r="C105" s="765">
        <v>2725</v>
      </c>
      <c r="D105" s="900">
        <v>6038</v>
      </c>
      <c r="E105" s="900">
        <v>28894</v>
      </c>
      <c r="F105" s="900">
        <v>106</v>
      </c>
      <c r="G105" s="900">
        <v>2378</v>
      </c>
      <c r="H105" s="900">
        <v>2742</v>
      </c>
      <c r="I105" s="99"/>
      <c r="K105" s="112" t="s">
        <v>815</v>
      </c>
      <c r="L105" s="815">
        <v>162</v>
      </c>
      <c r="M105" s="885">
        <v>572</v>
      </c>
      <c r="N105" s="885">
        <v>19</v>
      </c>
      <c r="O105" s="885">
        <v>28</v>
      </c>
      <c r="P105" s="885"/>
      <c r="Q105" s="885">
        <v>1727</v>
      </c>
      <c r="R105" s="885">
        <v>30116</v>
      </c>
    </row>
    <row r="106" spans="2:18" ht="13.5" customHeight="1" hidden="1">
      <c r="B106" s="122" t="s">
        <v>1333</v>
      </c>
      <c r="C106" s="884"/>
      <c r="D106" s="879"/>
      <c r="E106" s="879"/>
      <c r="F106" s="879"/>
      <c r="G106" s="879"/>
      <c r="H106" s="879"/>
      <c r="I106" s="99"/>
      <c r="K106" s="122" t="s">
        <v>1333</v>
      </c>
      <c r="L106" s="1083"/>
      <c r="M106" s="1079"/>
      <c r="N106" s="1082"/>
      <c r="O106" s="1082"/>
      <c r="P106" s="1082"/>
      <c r="Q106" s="1082"/>
      <c r="R106" s="1082"/>
    </row>
    <row r="107" spans="2:18" ht="13.5" customHeight="1" hidden="1">
      <c r="B107" s="112" t="s">
        <v>816</v>
      </c>
      <c r="C107" s="900">
        <v>2826</v>
      </c>
      <c r="D107" s="900">
        <v>6266</v>
      </c>
      <c r="E107" s="900">
        <v>30457</v>
      </c>
      <c r="F107" s="900">
        <v>110</v>
      </c>
      <c r="G107" s="900">
        <v>2222</v>
      </c>
      <c r="H107" s="900">
        <v>2878</v>
      </c>
      <c r="I107" s="99"/>
      <c r="K107" s="112" t="s">
        <v>816</v>
      </c>
      <c r="L107" s="885">
        <v>185</v>
      </c>
      <c r="M107" s="885">
        <v>646</v>
      </c>
      <c r="N107" s="885">
        <v>20</v>
      </c>
      <c r="O107" s="885">
        <v>28</v>
      </c>
      <c r="P107" s="650"/>
      <c r="Q107" s="885">
        <v>1740</v>
      </c>
      <c r="R107" s="885">
        <v>30881</v>
      </c>
    </row>
    <row r="108" spans="2:18" ht="13.5" customHeight="1" hidden="1">
      <c r="B108" s="122" t="s">
        <v>1334</v>
      </c>
      <c r="C108" s="879"/>
      <c r="D108" s="879"/>
      <c r="E108" s="879"/>
      <c r="F108" s="879"/>
      <c r="G108" s="879"/>
      <c r="H108" s="879"/>
      <c r="I108" s="99"/>
      <c r="K108" s="122" t="s">
        <v>1334</v>
      </c>
      <c r="L108" s="1079"/>
      <c r="M108" s="1079"/>
      <c r="N108" s="1082"/>
      <c r="O108" s="1082"/>
      <c r="P108" s="650"/>
      <c r="Q108" s="1082"/>
      <c r="R108" s="1082"/>
    </row>
    <row r="109" spans="2:18" ht="13.5" customHeight="1" hidden="1">
      <c r="B109" s="112" t="s">
        <v>817</v>
      </c>
      <c r="C109" s="900">
        <v>2912</v>
      </c>
      <c r="D109" s="900">
        <v>6424</v>
      </c>
      <c r="E109" s="900">
        <v>27651</v>
      </c>
      <c r="F109" s="900">
        <v>132</v>
      </c>
      <c r="G109" s="900">
        <v>2504</v>
      </c>
      <c r="H109" s="900">
        <v>3021</v>
      </c>
      <c r="I109" s="99"/>
      <c r="K109" s="112" t="s">
        <v>817</v>
      </c>
      <c r="L109" s="885">
        <v>265</v>
      </c>
      <c r="M109" s="885">
        <v>1001</v>
      </c>
      <c r="N109" s="885">
        <v>18</v>
      </c>
      <c r="O109" s="885">
        <v>25</v>
      </c>
      <c r="P109" s="885"/>
      <c r="Q109" s="885">
        <v>1729</v>
      </c>
      <c r="R109" s="885">
        <v>30565</v>
      </c>
    </row>
    <row r="110" spans="2:18" ht="13.5" customHeight="1" hidden="1">
      <c r="B110" s="122" t="s">
        <v>1335</v>
      </c>
      <c r="C110" s="879"/>
      <c r="D110" s="879"/>
      <c r="E110" s="879"/>
      <c r="F110" s="879"/>
      <c r="G110" s="879"/>
      <c r="H110" s="879"/>
      <c r="I110" s="99"/>
      <c r="K110" s="122" t="s">
        <v>1335</v>
      </c>
      <c r="L110" s="1079"/>
      <c r="M110" s="1079"/>
      <c r="N110" s="1079"/>
      <c r="O110" s="1079"/>
      <c r="P110" s="1079"/>
      <c r="Q110" s="1079"/>
      <c r="R110" s="1079"/>
    </row>
    <row r="111" spans="2:18" ht="13.5" customHeight="1" hidden="1">
      <c r="B111" s="112" t="s">
        <v>818</v>
      </c>
      <c r="C111" s="900">
        <v>2945</v>
      </c>
      <c r="D111" s="900">
        <v>6579</v>
      </c>
      <c r="E111" s="900">
        <v>34049</v>
      </c>
      <c r="F111" s="900">
        <v>118</v>
      </c>
      <c r="G111" s="900">
        <v>2292</v>
      </c>
      <c r="H111" s="900">
        <v>2945</v>
      </c>
      <c r="I111" s="99"/>
      <c r="K111" s="112" t="s">
        <v>818</v>
      </c>
      <c r="L111" s="885">
        <v>248</v>
      </c>
      <c r="M111" s="885">
        <v>880</v>
      </c>
      <c r="N111" s="885">
        <v>18</v>
      </c>
      <c r="O111" s="885">
        <v>24</v>
      </c>
      <c r="P111" s="885"/>
      <c r="Q111" s="885">
        <v>1740</v>
      </c>
      <c r="R111" s="885">
        <v>30559</v>
      </c>
    </row>
    <row r="112" spans="2:18" ht="13.5" customHeight="1" hidden="1">
      <c r="B112" s="122" t="s">
        <v>1336</v>
      </c>
      <c r="C112" s="879"/>
      <c r="D112" s="879"/>
      <c r="E112" s="879"/>
      <c r="F112" s="879"/>
      <c r="G112" s="879"/>
      <c r="H112" s="879"/>
      <c r="I112" s="99"/>
      <c r="K112" s="122" t="s">
        <v>1336</v>
      </c>
      <c r="L112" s="1079"/>
      <c r="M112" s="1079"/>
      <c r="N112" s="1079"/>
      <c r="O112" s="1079"/>
      <c r="P112" s="1079"/>
      <c r="Q112" s="1079"/>
      <c r="R112" s="1079"/>
    </row>
    <row r="113" spans="2:18" s="117" customFormat="1" ht="27.75" customHeight="1">
      <c r="B113" s="112" t="s">
        <v>822</v>
      </c>
      <c r="C113" s="158">
        <v>3174</v>
      </c>
      <c r="D113" s="158">
        <v>6970</v>
      </c>
      <c r="E113" s="158">
        <f>SUM(E114:E121)</f>
        <v>141153.058</v>
      </c>
      <c r="F113" s="158">
        <f>SUM(F114:F121)</f>
        <v>497</v>
      </c>
      <c r="G113" s="158">
        <f>SUM(G114:G121)</f>
        <v>10027</v>
      </c>
      <c r="H113" s="158">
        <f>SUM(H114:H121)</f>
        <v>13497.776000000002</v>
      </c>
      <c r="I113" s="234"/>
      <c r="K113" s="112" t="s">
        <v>822</v>
      </c>
      <c r="L113" s="158">
        <f aca="true" t="shared" si="0" ref="L113:R113">SUM(L114:L121)</f>
        <v>886</v>
      </c>
      <c r="M113" s="158">
        <f t="shared" si="0"/>
        <v>4334.372</v>
      </c>
      <c r="N113" s="158">
        <f t="shared" si="0"/>
        <v>66</v>
      </c>
      <c r="O113" s="158">
        <f t="shared" si="0"/>
        <v>89</v>
      </c>
      <c r="P113" s="158">
        <f t="shared" si="0"/>
        <v>0</v>
      </c>
      <c r="Q113" s="158">
        <f t="shared" si="0"/>
        <v>7163</v>
      </c>
      <c r="R113" s="158">
        <f t="shared" si="0"/>
        <v>125793</v>
      </c>
    </row>
    <row r="114" spans="2:18" ht="13.5" customHeight="1" hidden="1">
      <c r="B114" s="112" t="s">
        <v>815</v>
      </c>
      <c r="C114" s="900">
        <v>2845</v>
      </c>
      <c r="D114" s="900">
        <v>6233</v>
      </c>
      <c r="E114" s="900">
        <v>29704</v>
      </c>
      <c r="F114" s="900">
        <v>91</v>
      </c>
      <c r="G114" s="900">
        <v>1585</v>
      </c>
      <c r="H114" s="900">
        <v>2007</v>
      </c>
      <c r="I114" s="99"/>
      <c r="K114" s="112" t="s">
        <v>815</v>
      </c>
      <c r="L114" s="885">
        <v>207</v>
      </c>
      <c r="M114" s="885">
        <v>805</v>
      </c>
      <c r="N114" s="885">
        <v>16</v>
      </c>
      <c r="O114" s="885">
        <v>21</v>
      </c>
      <c r="P114" s="885"/>
      <c r="Q114" s="885">
        <v>1774</v>
      </c>
      <c r="R114" s="885">
        <v>31032</v>
      </c>
    </row>
    <row r="115" spans="2:18" ht="13.5" customHeight="1" hidden="1">
      <c r="B115" s="122" t="s">
        <v>1333</v>
      </c>
      <c r="C115" s="879"/>
      <c r="D115" s="879"/>
      <c r="E115" s="879"/>
      <c r="F115" s="879"/>
      <c r="G115" s="879"/>
      <c r="H115" s="879"/>
      <c r="I115" s="99"/>
      <c r="K115" s="122" t="s">
        <v>1333</v>
      </c>
      <c r="L115" s="1079"/>
      <c r="M115" s="1079"/>
      <c r="N115" s="1079"/>
      <c r="O115" s="1079"/>
      <c r="P115" s="1079"/>
      <c r="Q115" s="1079"/>
      <c r="R115" s="1079"/>
    </row>
    <row r="116" spans="2:18" ht="13.5" customHeight="1" hidden="1">
      <c r="B116" s="112" t="s">
        <v>816</v>
      </c>
      <c r="C116" s="900">
        <v>2982</v>
      </c>
      <c r="D116" s="900">
        <v>6584</v>
      </c>
      <c r="E116" s="900">
        <v>31511.9</v>
      </c>
      <c r="F116" s="900">
        <v>113</v>
      </c>
      <c r="G116" s="900">
        <v>2788</v>
      </c>
      <c r="H116" s="900">
        <v>3731.618</v>
      </c>
      <c r="I116" s="99"/>
      <c r="K116" s="112" t="s">
        <v>816</v>
      </c>
      <c r="L116" s="885">
        <v>251</v>
      </c>
      <c r="M116" s="885">
        <v>966</v>
      </c>
      <c r="N116" s="885">
        <v>16</v>
      </c>
      <c r="O116" s="885">
        <v>22</v>
      </c>
      <c r="P116" s="885"/>
      <c r="Q116" s="885">
        <v>1788</v>
      </c>
      <c r="R116" s="885">
        <v>31314</v>
      </c>
    </row>
    <row r="117" spans="2:18" ht="13.5" customHeight="1" hidden="1">
      <c r="B117" s="122" t="s">
        <v>1334</v>
      </c>
      <c r="C117" s="879"/>
      <c r="D117" s="879"/>
      <c r="E117" s="879"/>
      <c r="F117" s="879"/>
      <c r="G117" s="879"/>
      <c r="H117" s="879"/>
      <c r="I117" s="99"/>
      <c r="K117" s="122" t="s">
        <v>1334</v>
      </c>
      <c r="L117" s="1079"/>
      <c r="M117" s="1079"/>
      <c r="N117" s="1079"/>
      <c r="O117" s="1079"/>
      <c r="P117" s="1079"/>
      <c r="Q117" s="1079"/>
      <c r="R117" s="1079"/>
    </row>
    <row r="118" spans="2:18" ht="13.5" customHeight="1" hidden="1">
      <c r="B118" s="112" t="s">
        <v>817</v>
      </c>
      <c r="C118" s="900">
        <v>3081</v>
      </c>
      <c r="D118" s="900">
        <v>6715</v>
      </c>
      <c r="E118" s="900">
        <v>33947</v>
      </c>
      <c r="F118" s="900">
        <v>137</v>
      </c>
      <c r="G118" s="900">
        <v>2615</v>
      </c>
      <c r="H118" s="900">
        <v>3570</v>
      </c>
      <c r="I118" s="99"/>
      <c r="K118" s="112" t="s">
        <v>817</v>
      </c>
      <c r="L118" s="885">
        <v>198</v>
      </c>
      <c r="M118" s="885">
        <v>807</v>
      </c>
      <c r="N118" s="885">
        <v>17</v>
      </c>
      <c r="O118" s="885">
        <v>23</v>
      </c>
      <c r="P118" s="885"/>
      <c r="Q118" s="885">
        <v>1799</v>
      </c>
      <c r="R118" s="885">
        <v>31656</v>
      </c>
    </row>
    <row r="119" spans="2:18" ht="13.5" customHeight="1" hidden="1">
      <c r="B119" s="122" t="s">
        <v>1335</v>
      </c>
      <c r="C119" s="879"/>
      <c r="D119" s="900"/>
      <c r="E119" s="879"/>
      <c r="F119" s="879"/>
      <c r="G119" s="879"/>
      <c r="H119" s="879"/>
      <c r="I119" s="99"/>
      <c r="K119" s="122" t="s">
        <v>1335</v>
      </c>
      <c r="L119" s="1079"/>
      <c r="M119" s="1079"/>
      <c r="N119" s="1079"/>
      <c r="O119" s="1079"/>
      <c r="P119" s="1079"/>
      <c r="Q119" s="1079"/>
      <c r="R119" s="1079"/>
    </row>
    <row r="120" spans="2:18" ht="13.5" customHeight="1" hidden="1">
      <c r="B120" s="112" t="s">
        <v>818</v>
      </c>
      <c r="C120" s="900">
        <v>3174</v>
      </c>
      <c r="D120" s="900">
        <v>6970</v>
      </c>
      <c r="E120" s="900">
        <v>45990.158</v>
      </c>
      <c r="F120" s="900">
        <v>156</v>
      </c>
      <c r="G120" s="900">
        <v>3039</v>
      </c>
      <c r="H120" s="900">
        <v>4189.158</v>
      </c>
      <c r="I120" s="99"/>
      <c r="K120" s="112" t="s">
        <v>818</v>
      </c>
      <c r="L120" s="885">
        <v>230</v>
      </c>
      <c r="M120" s="885">
        <v>1756.372</v>
      </c>
      <c r="N120" s="885">
        <v>17</v>
      </c>
      <c r="O120" s="885">
        <v>23</v>
      </c>
      <c r="P120" s="885"/>
      <c r="Q120" s="885">
        <v>1802</v>
      </c>
      <c r="R120" s="885">
        <v>31791</v>
      </c>
    </row>
    <row r="121" spans="2:18" ht="13.5" customHeight="1" hidden="1">
      <c r="B121" s="122" t="s">
        <v>1336</v>
      </c>
      <c r="C121" s="879"/>
      <c r="D121" s="900"/>
      <c r="E121" s="879"/>
      <c r="F121" s="879"/>
      <c r="G121" s="879"/>
      <c r="H121" s="879"/>
      <c r="I121" s="99"/>
      <c r="K121" s="122" t="s">
        <v>1336</v>
      </c>
      <c r="L121" s="1079"/>
      <c r="M121" s="1079"/>
      <c r="N121" s="1079"/>
      <c r="O121" s="1079"/>
      <c r="P121" s="1079"/>
      <c r="Q121" s="1079"/>
      <c r="R121" s="1079"/>
    </row>
    <row r="122" spans="2:18" ht="27.75" customHeight="1">
      <c r="B122" s="112" t="s">
        <v>823</v>
      </c>
      <c r="C122" s="154">
        <v>3156</v>
      </c>
      <c r="D122" s="5">
        <v>7847</v>
      </c>
      <c r="E122" s="158">
        <f>SUM(E123:E130)</f>
        <v>191057.864</v>
      </c>
      <c r="F122" s="158">
        <f>SUM(F123:F130)</f>
        <v>551</v>
      </c>
      <c r="G122" s="158">
        <f>SUM(G123:G130)</f>
        <v>10147</v>
      </c>
      <c r="H122" s="158">
        <f>SUM(H123:H130)</f>
        <v>14569.141</v>
      </c>
      <c r="I122" s="99"/>
      <c r="K122" s="112" t="s">
        <v>823</v>
      </c>
      <c r="L122" s="158">
        <f>SUM(L123:L130)</f>
        <v>758</v>
      </c>
      <c r="M122" s="158">
        <f>SUM(M123:M130)</f>
        <v>2945.781</v>
      </c>
      <c r="N122" s="158">
        <f>SUM(N123:N130)</f>
        <v>66</v>
      </c>
      <c r="O122" s="158">
        <f>SUM(O123:O130)</f>
        <v>105</v>
      </c>
      <c r="P122" s="167"/>
      <c r="Q122" s="158">
        <f>SUM(Q123:Q130)</f>
        <v>7061</v>
      </c>
      <c r="R122" s="158">
        <f>SUM(R123:R130)</f>
        <v>119394</v>
      </c>
    </row>
    <row r="123" spans="2:18" ht="13.5" customHeight="1" hidden="1">
      <c r="B123" s="112" t="s">
        <v>815</v>
      </c>
      <c r="C123" s="900">
        <v>2854</v>
      </c>
      <c r="D123" s="900">
        <v>6932</v>
      </c>
      <c r="E123" s="900">
        <v>44777</v>
      </c>
      <c r="F123" s="900">
        <v>138</v>
      </c>
      <c r="G123" s="900">
        <v>2002</v>
      </c>
      <c r="H123" s="900">
        <v>3125.709</v>
      </c>
      <c r="I123" s="99"/>
      <c r="K123" s="112" t="s">
        <v>815</v>
      </c>
      <c r="L123" s="900">
        <v>159</v>
      </c>
      <c r="M123" s="900">
        <v>630.781</v>
      </c>
      <c r="N123" s="885">
        <v>16</v>
      </c>
      <c r="O123" s="885">
        <v>25</v>
      </c>
      <c r="P123" s="885"/>
      <c r="Q123" s="885">
        <v>1787</v>
      </c>
      <c r="R123" s="885">
        <v>29019</v>
      </c>
    </row>
    <row r="124" spans="2:18" ht="13.5" customHeight="1" hidden="1">
      <c r="B124" s="122" t="s">
        <v>1333</v>
      </c>
      <c r="C124" s="879"/>
      <c r="D124" s="900"/>
      <c r="E124" s="879"/>
      <c r="F124" s="879"/>
      <c r="G124" s="879"/>
      <c r="H124" s="879"/>
      <c r="I124" s="99"/>
      <c r="K124" s="122" t="s">
        <v>1333</v>
      </c>
      <c r="L124" s="1080"/>
      <c r="M124" s="1080"/>
      <c r="N124" s="1079"/>
      <c r="O124" s="1079"/>
      <c r="P124" s="1079"/>
      <c r="Q124" s="1079"/>
      <c r="R124" s="1079"/>
    </row>
    <row r="125" spans="2:18" ht="15" customHeight="1" hidden="1">
      <c r="B125" s="112" t="s">
        <v>816</v>
      </c>
      <c r="C125" s="900">
        <v>3021</v>
      </c>
      <c r="D125" s="900">
        <v>7511</v>
      </c>
      <c r="E125" s="900">
        <v>48962.234</v>
      </c>
      <c r="F125" s="900">
        <v>167</v>
      </c>
      <c r="G125" s="900">
        <v>2894</v>
      </c>
      <c r="H125" s="900">
        <v>3951.742</v>
      </c>
      <c r="I125" s="99"/>
      <c r="J125" s="99"/>
      <c r="K125" s="112" t="s">
        <v>816</v>
      </c>
      <c r="L125" s="900">
        <v>162</v>
      </c>
      <c r="M125" s="900">
        <v>567</v>
      </c>
      <c r="N125" s="885">
        <v>15</v>
      </c>
      <c r="O125" s="885">
        <v>25</v>
      </c>
      <c r="P125" s="885"/>
      <c r="Q125" s="885">
        <v>1721</v>
      </c>
      <c r="R125" s="885">
        <v>29694</v>
      </c>
    </row>
    <row r="126" spans="2:18" ht="15" customHeight="1" hidden="1">
      <c r="B126" s="122" t="s">
        <v>1334</v>
      </c>
      <c r="C126" s="879"/>
      <c r="D126" s="900"/>
      <c r="E126" s="879"/>
      <c r="F126" s="879"/>
      <c r="G126" s="879"/>
      <c r="H126" s="879"/>
      <c r="I126" s="99"/>
      <c r="J126" s="99"/>
      <c r="K126" s="122" t="s">
        <v>1334</v>
      </c>
      <c r="L126" s="1080"/>
      <c r="M126" s="1080"/>
      <c r="N126" s="1079"/>
      <c r="O126" s="1079"/>
      <c r="P126" s="1079"/>
      <c r="Q126" s="1079"/>
      <c r="R126" s="1079"/>
    </row>
    <row r="127" spans="2:18" ht="15" customHeight="1" hidden="1">
      <c r="B127" s="112" t="s">
        <v>817</v>
      </c>
      <c r="C127" s="900">
        <v>3128</v>
      </c>
      <c r="D127" s="900">
        <v>7782</v>
      </c>
      <c r="E127" s="900">
        <v>44619.915</v>
      </c>
      <c r="F127" s="900">
        <v>136</v>
      </c>
      <c r="G127" s="900">
        <v>1781</v>
      </c>
      <c r="H127" s="900">
        <v>2598.025</v>
      </c>
      <c r="I127" s="99"/>
      <c r="J127" s="99"/>
      <c r="K127" s="112" t="s">
        <v>817</v>
      </c>
      <c r="L127" s="900">
        <v>203</v>
      </c>
      <c r="M127" s="900">
        <v>803</v>
      </c>
      <c r="N127" s="885">
        <v>17</v>
      </c>
      <c r="O127" s="885">
        <v>27</v>
      </c>
      <c r="P127" s="885"/>
      <c r="Q127" s="885">
        <v>1778</v>
      </c>
      <c r="R127" s="885">
        <v>30381</v>
      </c>
    </row>
    <row r="128" spans="2:18" ht="15" customHeight="1" hidden="1">
      <c r="B128" s="122" t="s">
        <v>1335</v>
      </c>
      <c r="C128" s="879"/>
      <c r="D128" s="900"/>
      <c r="E128" s="879"/>
      <c r="F128" s="879"/>
      <c r="G128" s="879"/>
      <c r="H128" s="879"/>
      <c r="I128" s="99"/>
      <c r="J128" s="99"/>
      <c r="K128" s="122" t="s">
        <v>1335</v>
      </c>
      <c r="L128" s="1080"/>
      <c r="M128" s="1080"/>
      <c r="N128" s="1079"/>
      <c r="O128" s="1079"/>
      <c r="P128" s="1079"/>
      <c r="Q128" s="1079"/>
      <c r="R128" s="1079"/>
    </row>
    <row r="129" spans="2:18" ht="15" customHeight="1">
      <c r="B129" s="112" t="s">
        <v>818</v>
      </c>
      <c r="C129" s="900">
        <v>3156</v>
      </c>
      <c r="D129" s="900">
        <v>7847</v>
      </c>
      <c r="E129" s="900">
        <v>52698.715</v>
      </c>
      <c r="F129" s="900">
        <v>110</v>
      </c>
      <c r="G129" s="900">
        <v>3470</v>
      </c>
      <c r="H129" s="900">
        <v>4893.665</v>
      </c>
      <c r="I129" s="99"/>
      <c r="J129" s="99"/>
      <c r="K129" s="112" t="s">
        <v>818</v>
      </c>
      <c r="L129" s="765">
        <v>234</v>
      </c>
      <c r="M129" s="900">
        <v>945</v>
      </c>
      <c r="N129" s="885">
        <v>18</v>
      </c>
      <c r="O129" s="885">
        <v>28</v>
      </c>
      <c r="P129" s="885"/>
      <c r="Q129" s="885">
        <v>1775</v>
      </c>
      <c r="R129" s="885">
        <v>30300</v>
      </c>
    </row>
    <row r="130" spans="2:18" ht="15" customHeight="1" thickBot="1">
      <c r="B130" s="122" t="s">
        <v>1336</v>
      </c>
      <c r="C130" s="879"/>
      <c r="D130" s="900"/>
      <c r="E130" s="879"/>
      <c r="F130" s="879"/>
      <c r="G130" s="879"/>
      <c r="H130" s="879"/>
      <c r="I130" s="99"/>
      <c r="J130" s="99"/>
      <c r="K130" s="122" t="s">
        <v>1336</v>
      </c>
      <c r="L130" s="1081"/>
      <c r="M130" s="1080"/>
      <c r="N130" s="1079"/>
      <c r="O130" s="1079"/>
      <c r="P130" s="1084"/>
      <c r="Q130" s="1079"/>
      <c r="R130" s="1079"/>
    </row>
    <row r="131" spans="2:18" s="582" customFormat="1" ht="27.75" customHeight="1">
      <c r="B131" s="580" t="s">
        <v>824</v>
      </c>
      <c r="C131" s="642"/>
      <c r="D131" s="619"/>
      <c r="E131" s="643"/>
      <c r="F131" s="643"/>
      <c r="G131" s="643"/>
      <c r="H131" s="643"/>
      <c r="I131" s="610"/>
      <c r="J131" s="610"/>
      <c r="K131" s="580" t="s">
        <v>824</v>
      </c>
      <c r="L131" s="644"/>
      <c r="M131" s="644"/>
      <c r="N131" s="644"/>
      <c r="O131" s="644"/>
      <c r="P131" s="644"/>
      <c r="Q131" s="644"/>
      <c r="R131" s="644"/>
    </row>
    <row r="132" spans="2:18" s="582" customFormat="1" ht="15" customHeight="1">
      <c r="B132" s="580" t="s">
        <v>825</v>
      </c>
      <c r="C132" s="900">
        <v>2967</v>
      </c>
      <c r="D132" s="830">
        <v>7377</v>
      </c>
      <c r="E132" s="900">
        <v>45825</v>
      </c>
      <c r="F132" s="1078">
        <v>76</v>
      </c>
      <c r="G132" s="900">
        <v>1207</v>
      </c>
      <c r="H132" s="900">
        <v>1471.313</v>
      </c>
      <c r="I132" s="610"/>
      <c r="J132" s="610"/>
      <c r="K132" s="580" t="s">
        <v>825</v>
      </c>
      <c r="L132" s="1125">
        <v>244</v>
      </c>
      <c r="M132" s="900">
        <v>921.646</v>
      </c>
      <c r="N132" s="1078">
        <v>18</v>
      </c>
      <c r="O132" s="1078">
        <v>25</v>
      </c>
      <c r="P132" s="644"/>
      <c r="Q132" s="885">
        <v>1807</v>
      </c>
      <c r="R132" s="885">
        <v>29949</v>
      </c>
    </row>
    <row r="133" spans="2:18" s="582" customFormat="1" ht="15" customHeight="1">
      <c r="B133" s="583" t="s">
        <v>1333</v>
      </c>
      <c r="C133" s="879"/>
      <c r="D133" s="830"/>
      <c r="E133" s="879"/>
      <c r="F133" s="1078"/>
      <c r="G133" s="879"/>
      <c r="H133" s="879"/>
      <c r="I133" s="610"/>
      <c r="J133" s="610"/>
      <c r="K133" s="583" t="s">
        <v>1333</v>
      </c>
      <c r="L133" s="1125"/>
      <c r="M133" s="1080"/>
      <c r="N133" s="1078"/>
      <c r="O133" s="1078"/>
      <c r="P133" s="644"/>
      <c r="Q133" s="1079"/>
      <c r="R133" s="1079"/>
    </row>
    <row r="134" spans="2:18" s="582" customFormat="1" ht="15" customHeight="1">
      <c r="B134" s="112" t="s">
        <v>816</v>
      </c>
      <c r="C134" s="1126">
        <v>3093</v>
      </c>
      <c r="D134" s="1127">
        <v>7663</v>
      </c>
      <c r="E134" s="1127">
        <v>47145.524</v>
      </c>
      <c r="F134" s="1127">
        <v>193</v>
      </c>
      <c r="G134" s="1127">
        <v>2599</v>
      </c>
      <c r="H134" s="1127">
        <v>3636.377</v>
      </c>
      <c r="I134" s="610"/>
      <c r="J134" s="610"/>
      <c r="K134" s="112" t="s">
        <v>816</v>
      </c>
      <c r="L134" s="1126">
        <v>256</v>
      </c>
      <c r="M134" s="1127">
        <v>974</v>
      </c>
      <c r="N134" s="1127">
        <v>18</v>
      </c>
      <c r="O134" s="1127">
        <v>23</v>
      </c>
      <c r="P134" s="665"/>
      <c r="Q134" s="1127">
        <v>1746</v>
      </c>
      <c r="R134" s="1127">
        <v>30114</v>
      </c>
    </row>
    <row r="135" spans="2:18" s="582" customFormat="1" ht="15" customHeight="1">
      <c r="B135" s="122" t="s">
        <v>826</v>
      </c>
      <c r="C135" s="1126"/>
      <c r="D135" s="1127"/>
      <c r="E135" s="1127"/>
      <c r="F135" s="1127"/>
      <c r="G135" s="1127"/>
      <c r="H135" s="1127"/>
      <c r="I135" s="610"/>
      <c r="J135" s="610"/>
      <c r="K135" s="122" t="s">
        <v>1334</v>
      </c>
      <c r="L135" s="1126"/>
      <c r="M135" s="1127"/>
      <c r="N135" s="1127"/>
      <c r="O135" s="1127"/>
      <c r="P135" s="665"/>
      <c r="Q135" s="1127"/>
      <c r="R135" s="1127"/>
    </row>
    <row r="136" spans="2:18" s="582" customFormat="1" ht="15" customHeight="1">
      <c r="B136" s="112" t="s">
        <v>817</v>
      </c>
      <c r="C136" s="1077">
        <v>3111</v>
      </c>
      <c r="D136" s="1076">
        <v>7693</v>
      </c>
      <c r="E136" s="1076">
        <v>40342.834</v>
      </c>
      <c r="F136" s="1076">
        <v>170</v>
      </c>
      <c r="G136" s="1076">
        <v>2455</v>
      </c>
      <c r="H136" s="1076">
        <v>3386.163</v>
      </c>
      <c r="I136" s="610"/>
      <c r="J136" s="610"/>
      <c r="K136" s="112" t="s">
        <v>817</v>
      </c>
      <c r="L136" s="1077">
        <v>190</v>
      </c>
      <c r="M136" s="1076">
        <v>725.2</v>
      </c>
      <c r="N136" s="1076">
        <v>17</v>
      </c>
      <c r="O136" s="1076">
        <v>23</v>
      </c>
      <c r="P136" s="706"/>
      <c r="Q136" s="1076">
        <v>1746</v>
      </c>
      <c r="R136" s="1076">
        <v>29736</v>
      </c>
    </row>
    <row r="137" spans="2:18" s="582" customFormat="1" ht="15" customHeight="1">
      <c r="B137" s="122" t="s">
        <v>1335</v>
      </c>
      <c r="C137" s="1077"/>
      <c r="D137" s="1076"/>
      <c r="E137" s="1076"/>
      <c r="F137" s="1076"/>
      <c r="G137" s="1076"/>
      <c r="H137" s="1076"/>
      <c r="I137" s="610"/>
      <c r="J137" s="610"/>
      <c r="K137" s="122" t="s">
        <v>1335</v>
      </c>
      <c r="L137" s="1077"/>
      <c r="M137" s="1076"/>
      <c r="N137" s="1076"/>
      <c r="O137" s="1076"/>
      <c r="P137" s="706"/>
      <c r="Q137" s="1076"/>
      <c r="R137" s="1076"/>
    </row>
    <row r="138" spans="2:25" s="582" customFormat="1" ht="15" customHeight="1">
      <c r="B138" s="112" t="s">
        <v>818</v>
      </c>
      <c r="C138" s="1126">
        <v>3104</v>
      </c>
      <c r="D138" s="1127">
        <v>7651</v>
      </c>
      <c r="E138" s="1127">
        <v>51127.031</v>
      </c>
      <c r="F138" s="1127">
        <v>184</v>
      </c>
      <c r="G138" s="1127">
        <v>1891</v>
      </c>
      <c r="H138" s="1127">
        <v>3460.628</v>
      </c>
      <c r="I138" s="670"/>
      <c r="J138" s="670"/>
      <c r="K138" s="666" t="s">
        <v>818</v>
      </c>
      <c r="L138" s="1126">
        <v>161</v>
      </c>
      <c r="M138" s="1127">
        <v>596.354</v>
      </c>
      <c r="N138" s="1127">
        <v>19</v>
      </c>
      <c r="O138" s="1127">
        <v>26</v>
      </c>
      <c r="P138" s="665"/>
      <c r="Q138" s="1127">
        <v>1735</v>
      </c>
      <c r="R138" s="1127">
        <v>29706</v>
      </c>
      <c r="S138" s="225"/>
      <c r="T138" s="225"/>
      <c r="U138" s="225"/>
      <c r="V138" s="225"/>
      <c r="W138" s="225"/>
      <c r="X138" s="225"/>
      <c r="Y138" s="225"/>
    </row>
    <row r="139" spans="2:25" s="582" customFormat="1" ht="15" customHeight="1" thickBot="1">
      <c r="B139" s="122" t="s">
        <v>1336</v>
      </c>
      <c r="C139" s="1128"/>
      <c r="D139" s="1129"/>
      <c r="E139" s="1129"/>
      <c r="F139" s="1129"/>
      <c r="G139" s="1129"/>
      <c r="H139" s="1129"/>
      <c r="I139" s="670"/>
      <c r="J139" s="670"/>
      <c r="K139" s="667" t="s">
        <v>1336</v>
      </c>
      <c r="L139" s="1128"/>
      <c r="M139" s="1129"/>
      <c r="N139" s="1129"/>
      <c r="O139" s="1129"/>
      <c r="P139" s="665"/>
      <c r="Q139" s="1129"/>
      <c r="R139" s="1129"/>
      <c r="S139" s="225"/>
      <c r="T139" s="225"/>
      <c r="U139" s="225"/>
      <c r="V139" s="225"/>
      <c r="W139" s="225"/>
      <c r="X139" s="225"/>
      <c r="Y139" s="225"/>
    </row>
    <row r="140" spans="2:25" s="582" customFormat="1" ht="21" customHeight="1">
      <c r="B140" s="584" t="s">
        <v>827</v>
      </c>
      <c r="C140" s="750">
        <f aca="true" t="shared" si="1" ref="C140:H140">(C138-C136)/C136*100</f>
        <v>-0.22500803600128574</v>
      </c>
      <c r="D140" s="844">
        <f t="shared" si="1"/>
        <v>-0.5459508644222021</v>
      </c>
      <c r="E140" s="844">
        <f t="shared" si="1"/>
        <v>26.731381835990998</v>
      </c>
      <c r="F140" s="844">
        <f t="shared" si="1"/>
        <v>8.235294117647058</v>
      </c>
      <c r="G140" s="844">
        <f t="shared" si="1"/>
        <v>-22.973523421588595</v>
      </c>
      <c r="H140" s="844">
        <f t="shared" si="1"/>
        <v>2.199096735744858</v>
      </c>
      <c r="I140" s="670"/>
      <c r="J140" s="225"/>
      <c r="K140" s="740" t="s">
        <v>828</v>
      </c>
      <c r="L140" s="750">
        <f>(L138-L136)/L136*100</f>
        <v>-15.263157894736842</v>
      </c>
      <c r="M140" s="844">
        <f>(M138-M136)/M136*100</f>
        <v>-17.76696083838941</v>
      </c>
      <c r="N140" s="1032">
        <f>(N138-N136)/N136*100</f>
        <v>11.76470588235294</v>
      </c>
      <c r="O140" s="1032">
        <f>(O138-O136)/O136*100</f>
        <v>13.043478260869565</v>
      </c>
      <c r="P140" s="844" t="e">
        <f>(P134-P132)/P132*100</f>
        <v>#DIV/0!</v>
      </c>
      <c r="Q140" s="1032">
        <f>(Q138-Q136)/Q136*100</f>
        <v>-0.6300114547537228</v>
      </c>
      <c r="R140" s="1032">
        <f>(R138-R136)/R136*100</f>
        <v>-0.10088781275221952</v>
      </c>
      <c r="S140" s="225"/>
      <c r="T140" s="225"/>
      <c r="U140" s="225"/>
      <c r="V140" s="225"/>
      <c r="W140" s="225"/>
      <c r="X140" s="225"/>
      <c r="Y140" s="225"/>
    </row>
    <row r="141" spans="2:25" s="582" customFormat="1" ht="21" customHeight="1" thickBot="1">
      <c r="B141" s="585" t="s">
        <v>829</v>
      </c>
      <c r="C141" s="754"/>
      <c r="D141" s="839"/>
      <c r="E141" s="839"/>
      <c r="F141" s="839"/>
      <c r="G141" s="839"/>
      <c r="H141" s="839"/>
      <c r="I141" s="225"/>
      <c r="J141" s="225"/>
      <c r="K141" s="741" t="s">
        <v>829</v>
      </c>
      <c r="L141" s="754"/>
      <c r="M141" s="839"/>
      <c r="N141" s="1033"/>
      <c r="O141" s="1033"/>
      <c r="P141" s="839"/>
      <c r="Q141" s="1033"/>
      <c r="R141" s="1033"/>
      <c r="S141" s="225"/>
      <c r="T141" s="225"/>
      <c r="U141" s="225"/>
      <c r="V141" s="225"/>
      <c r="W141" s="225"/>
      <c r="X141" s="225"/>
      <c r="Y141" s="225"/>
    </row>
    <row r="142" spans="2:25" s="582" customFormat="1" ht="21" customHeight="1">
      <c r="B142" s="584" t="s">
        <v>830</v>
      </c>
      <c r="C142" s="750">
        <f aca="true" t="shared" si="2" ref="C142:H142">(C138-C129)/C129*100</f>
        <v>-1.6476552598225602</v>
      </c>
      <c r="D142" s="844">
        <f t="shared" si="2"/>
        <v>-2.4977698483496877</v>
      </c>
      <c r="E142" s="844">
        <f t="shared" si="2"/>
        <v>-2.982395301289593</v>
      </c>
      <c r="F142" s="844">
        <f t="shared" si="2"/>
        <v>67.27272727272727</v>
      </c>
      <c r="G142" s="844">
        <f t="shared" si="2"/>
        <v>-45.5043227665706</v>
      </c>
      <c r="H142" s="844">
        <f t="shared" si="2"/>
        <v>-29.283512459475663</v>
      </c>
      <c r="I142" s="225"/>
      <c r="J142" s="225"/>
      <c r="K142" s="740" t="s">
        <v>831</v>
      </c>
      <c r="L142" s="750">
        <f>(L138-L129)/L129*100</f>
        <v>-31.196581196581196</v>
      </c>
      <c r="M142" s="844">
        <f>(M138-M129)/M129*100</f>
        <v>-36.893756613756615</v>
      </c>
      <c r="N142" s="1032">
        <f>(N138-N129)/N129*100</f>
        <v>5.555555555555555</v>
      </c>
      <c r="O142" s="1032">
        <f>(O138-O129)/O129*100</f>
        <v>-7.142857142857142</v>
      </c>
      <c r="P142" s="844" t="e">
        <f>(P134-P125)/P125*100</f>
        <v>#DIV/0!</v>
      </c>
      <c r="Q142" s="844">
        <f>(Q138-Q129)/Q129*100</f>
        <v>-2.2535211267605635</v>
      </c>
      <c r="R142" s="844">
        <f>(R138-R129)/R129*100</f>
        <v>-1.9603960396039604</v>
      </c>
      <c r="S142" s="225"/>
      <c r="T142" s="225"/>
      <c r="U142" s="225"/>
      <c r="V142" s="225"/>
      <c r="W142" s="225"/>
      <c r="X142" s="225"/>
      <c r="Y142" s="225"/>
    </row>
    <row r="143" spans="2:25" s="582" customFormat="1" ht="12.75" customHeight="1" thickBot="1">
      <c r="B143" s="585" t="s">
        <v>832</v>
      </c>
      <c r="C143" s="754"/>
      <c r="D143" s="839"/>
      <c r="E143" s="839"/>
      <c r="F143" s="839"/>
      <c r="G143" s="839"/>
      <c r="H143" s="839"/>
      <c r="I143" s="225"/>
      <c r="J143" s="225"/>
      <c r="K143" s="741" t="s">
        <v>832</v>
      </c>
      <c r="L143" s="754"/>
      <c r="M143" s="839"/>
      <c r="N143" s="1033"/>
      <c r="O143" s="1033"/>
      <c r="P143" s="839"/>
      <c r="Q143" s="839"/>
      <c r="R143" s="839"/>
      <c r="S143" s="225"/>
      <c r="T143" s="225"/>
      <c r="U143" s="225"/>
      <c r="V143" s="225"/>
      <c r="W143" s="225"/>
      <c r="X143" s="225"/>
      <c r="Y143" s="225"/>
    </row>
    <row r="144" spans="2:18" ht="14.25" customHeight="1">
      <c r="B144" s="113" t="s">
        <v>833</v>
      </c>
      <c r="C144" s="189"/>
      <c r="D144" s="189"/>
      <c r="K144" s="113" t="s">
        <v>833</v>
      </c>
      <c r="L144" s="587"/>
      <c r="M144" s="707"/>
      <c r="N144" s="708"/>
      <c r="O144" s="707"/>
      <c r="P144" s="707"/>
      <c r="Q144" s="707"/>
      <c r="R144" s="707"/>
    </row>
    <row r="145" spans="2:11" ht="15" customHeight="1">
      <c r="B145" s="128" t="s">
        <v>834</v>
      </c>
      <c r="C145" s="189"/>
      <c r="D145" s="189"/>
      <c r="K145" s="113" t="s">
        <v>835</v>
      </c>
    </row>
    <row r="146" spans="2:11" ht="14.25" customHeight="1">
      <c r="B146" s="114" t="s">
        <v>836</v>
      </c>
      <c r="C146" s="189"/>
      <c r="D146" s="189"/>
      <c r="K146" s="129"/>
    </row>
    <row r="147" spans="1:19" ht="33" customHeight="1">
      <c r="A147" s="899" t="s">
        <v>837</v>
      </c>
      <c r="B147" s="899"/>
      <c r="C147" s="899"/>
      <c r="D147" s="899"/>
      <c r="E147" s="899"/>
      <c r="F147" s="899"/>
      <c r="G147" s="899"/>
      <c r="H147" s="899"/>
      <c r="I147" s="899"/>
      <c r="J147" s="899" t="s">
        <v>838</v>
      </c>
      <c r="K147" s="899"/>
      <c r="L147" s="899"/>
      <c r="M147" s="899"/>
      <c r="N147" s="899"/>
      <c r="O147" s="899"/>
      <c r="P147" s="899"/>
      <c r="Q147" s="899"/>
      <c r="R147" s="899"/>
      <c r="S147" s="899"/>
    </row>
  </sheetData>
  <mergeCells count="475">
    <mergeCell ref="N138:N139"/>
    <mergeCell ref="O138:O139"/>
    <mergeCell ref="Q138:Q139"/>
    <mergeCell ref="R138:R139"/>
    <mergeCell ref="G138:G139"/>
    <mergeCell ref="H138:H139"/>
    <mergeCell ref="L138:L139"/>
    <mergeCell ref="M138:M139"/>
    <mergeCell ref="C138:C139"/>
    <mergeCell ref="D138:D139"/>
    <mergeCell ref="E138:E139"/>
    <mergeCell ref="F138:F139"/>
    <mergeCell ref="N134:N135"/>
    <mergeCell ref="O134:O135"/>
    <mergeCell ref="Q134:Q135"/>
    <mergeCell ref="R134:R135"/>
    <mergeCell ref="G134:G135"/>
    <mergeCell ref="H134:H135"/>
    <mergeCell ref="L134:L135"/>
    <mergeCell ref="M134:M135"/>
    <mergeCell ref="C134:C135"/>
    <mergeCell ref="D134:D135"/>
    <mergeCell ref="E134:E135"/>
    <mergeCell ref="F134:F135"/>
    <mergeCell ref="M132:M133"/>
    <mergeCell ref="L132:L133"/>
    <mergeCell ref="Q132:Q133"/>
    <mergeCell ref="J44:S44"/>
    <mergeCell ref="J45:S45"/>
    <mergeCell ref="R125:R126"/>
    <mergeCell ref="N125:N126"/>
    <mergeCell ref="O125:O126"/>
    <mergeCell ref="P125:P126"/>
    <mergeCell ref="R132:R133"/>
    <mergeCell ref="O132:O133"/>
    <mergeCell ref="N132:N133"/>
    <mergeCell ref="A147:I147"/>
    <mergeCell ref="J147:S147"/>
    <mergeCell ref="H142:H143"/>
    <mergeCell ref="N140:N141"/>
    <mergeCell ref="O140:O141"/>
    <mergeCell ref="P140:P141"/>
    <mergeCell ref="Q140:Q141"/>
    <mergeCell ref="R140:R141"/>
    <mergeCell ref="Q125:Q126"/>
    <mergeCell ref="G125:G126"/>
    <mergeCell ref="H125:H126"/>
    <mergeCell ref="L125:L126"/>
    <mergeCell ref="M125:M126"/>
    <mergeCell ref="C125:C126"/>
    <mergeCell ref="D125:D126"/>
    <mergeCell ref="E125:E126"/>
    <mergeCell ref="F125:F126"/>
    <mergeCell ref="R123:R124"/>
    <mergeCell ref="N123:N124"/>
    <mergeCell ref="O123:O124"/>
    <mergeCell ref="P123:P124"/>
    <mergeCell ref="Q123:Q124"/>
    <mergeCell ref="G123:G124"/>
    <mergeCell ref="H123:H124"/>
    <mergeCell ref="L123:L124"/>
    <mergeCell ref="M123:M124"/>
    <mergeCell ref="C123:C124"/>
    <mergeCell ref="D123:D124"/>
    <mergeCell ref="E123:E124"/>
    <mergeCell ref="F123:F124"/>
    <mergeCell ref="P111:P112"/>
    <mergeCell ref="Q111:Q112"/>
    <mergeCell ref="R111:R112"/>
    <mergeCell ref="L111:L112"/>
    <mergeCell ref="M111:M112"/>
    <mergeCell ref="N111:N112"/>
    <mergeCell ref="O111:O112"/>
    <mergeCell ref="R102:R103"/>
    <mergeCell ref="N102:N103"/>
    <mergeCell ref="O102:O103"/>
    <mergeCell ref="P102:P103"/>
    <mergeCell ref="Q102:Q103"/>
    <mergeCell ref="G102:G103"/>
    <mergeCell ref="H102:H103"/>
    <mergeCell ref="L102:L103"/>
    <mergeCell ref="M102:M103"/>
    <mergeCell ref="C102:C103"/>
    <mergeCell ref="D102:D103"/>
    <mergeCell ref="E102:E103"/>
    <mergeCell ref="F102:F103"/>
    <mergeCell ref="R96:R97"/>
    <mergeCell ref="N46:O47"/>
    <mergeCell ref="N48:O49"/>
    <mergeCell ref="N96:N97"/>
    <mergeCell ref="O96:O97"/>
    <mergeCell ref="P96:P97"/>
    <mergeCell ref="Q96:Q97"/>
    <mergeCell ref="O52:O53"/>
    <mergeCell ref="Q52:Q53"/>
    <mergeCell ref="R52:R53"/>
    <mergeCell ref="G96:G97"/>
    <mergeCell ref="H96:H97"/>
    <mergeCell ref="L96:L97"/>
    <mergeCell ref="M96:M97"/>
    <mergeCell ref="C96:C97"/>
    <mergeCell ref="D96:D97"/>
    <mergeCell ref="E96:E97"/>
    <mergeCell ref="F96:F97"/>
    <mergeCell ref="G91:G92"/>
    <mergeCell ref="H91:H92"/>
    <mergeCell ref="C91:C92"/>
    <mergeCell ref="D91:D92"/>
    <mergeCell ref="E91:E92"/>
    <mergeCell ref="F91:F92"/>
    <mergeCell ref="G87:G88"/>
    <mergeCell ref="E80:E81"/>
    <mergeCell ref="F80:F81"/>
    <mergeCell ref="G80:G81"/>
    <mergeCell ref="C82:C83"/>
    <mergeCell ref="D82:D83"/>
    <mergeCell ref="E82:E83"/>
    <mergeCell ref="G84:G85"/>
    <mergeCell ref="F84:F85"/>
    <mergeCell ref="H84:H85"/>
    <mergeCell ref="F82:F83"/>
    <mergeCell ref="C142:C143"/>
    <mergeCell ref="H140:H141"/>
    <mergeCell ref="G140:G141"/>
    <mergeCell ref="H87:H88"/>
    <mergeCell ref="C87:C88"/>
    <mergeCell ref="D87:D88"/>
    <mergeCell ref="E87:E88"/>
    <mergeCell ref="F87:F88"/>
    <mergeCell ref="E75:E76"/>
    <mergeCell ref="F75:F76"/>
    <mergeCell ref="H80:H81"/>
    <mergeCell ref="G82:G83"/>
    <mergeCell ref="H82:H83"/>
    <mergeCell ref="H78:H79"/>
    <mergeCell ref="G78:G79"/>
    <mergeCell ref="F78:F79"/>
    <mergeCell ref="F73:F74"/>
    <mergeCell ref="G75:G76"/>
    <mergeCell ref="H75:H76"/>
    <mergeCell ref="G71:G72"/>
    <mergeCell ref="H71:H72"/>
    <mergeCell ref="G73:G74"/>
    <mergeCell ref="H73:H74"/>
    <mergeCell ref="E71:E72"/>
    <mergeCell ref="F71:F72"/>
    <mergeCell ref="C69:C70"/>
    <mergeCell ref="D69:D70"/>
    <mergeCell ref="E69:E70"/>
    <mergeCell ref="F69:F70"/>
    <mergeCell ref="C78:C79"/>
    <mergeCell ref="H52:H53"/>
    <mergeCell ref="D142:D143"/>
    <mergeCell ref="E142:E143"/>
    <mergeCell ref="F142:F143"/>
    <mergeCell ref="G142:G143"/>
    <mergeCell ref="G69:G70"/>
    <mergeCell ref="H69:H70"/>
    <mergeCell ref="F140:F141"/>
    <mergeCell ref="F52:F53"/>
    <mergeCell ref="D78:D79"/>
    <mergeCell ref="C140:C141"/>
    <mergeCell ref="D140:D141"/>
    <mergeCell ref="E140:E141"/>
    <mergeCell ref="C84:C85"/>
    <mergeCell ref="D84:D85"/>
    <mergeCell ref="E84:E85"/>
    <mergeCell ref="E78:E79"/>
    <mergeCell ref="C80:C81"/>
    <mergeCell ref="D80:D81"/>
    <mergeCell ref="E73:E74"/>
    <mergeCell ref="C75:C76"/>
    <mergeCell ref="D75:D76"/>
    <mergeCell ref="B50:B53"/>
    <mergeCell ref="C50:C51"/>
    <mergeCell ref="D50:D51"/>
    <mergeCell ref="C73:C74"/>
    <mergeCell ref="D73:D74"/>
    <mergeCell ref="C71:C72"/>
    <mergeCell ref="D71:D72"/>
    <mergeCell ref="G52:G53"/>
    <mergeCell ref="C52:C53"/>
    <mergeCell ref="D52:D53"/>
    <mergeCell ref="E52:E53"/>
    <mergeCell ref="A1:I1"/>
    <mergeCell ref="B2:H2"/>
    <mergeCell ref="C46:E47"/>
    <mergeCell ref="F46:H47"/>
    <mergeCell ref="B46:B49"/>
    <mergeCell ref="C48:E49"/>
    <mergeCell ref="F48:H49"/>
    <mergeCell ref="A44:I44"/>
    <mergeCell ref="A45:I45"/>
    <mergeCell ref="A42:I43"/>
    <mergeCell ref="G89:G90"/>
    <mergeCell ref="H89:H90"/>
    <mergeCell ref="C89:C90"/>
    <mergeCell ref="D89:D90"/>
    <mergeCell ref="E89:E90"/>
    <mergeCell ref="F89:F90"/>
    <mergeCell ref="K46:K49"/>
    <mergeCell ref="L46:M47"/>
    <mergeCell ref="Q46:R46"/>
    <mergeCell ref="Q47:R47"/>
    <mergeCell ref="L48:M49"/>
    <mergeCell ref="Q48:R49"/>
    <mergeCell ref="K50:K53"/>
    <mergeCell ref="L52:L53"/>
    <mergeCell ref="M52:M53"/>
    <mergeCell ref="N52:N53"/>
    <mergeCell ref="L69:L70"/>
    <mergeCell ref="M69:M70"/>
    <mergeCell ref="N69:N70"/>
    <mergeCell ref="O69:O70"/>
    <mergeCell ref="P69:P70"/>
    <mergeCell ref="Q69:Q70"/>
    <mergeCell ref="R69:R70"/>
    <mergeCell ref="L71:L72"/>
    <mergeCell ref="M71:M72"/>
    <mergeCell ref="N71:N72"/>
    <mergeCell ref="O71:O72"/>
    <mergeCell ref="P71:P72"/>
    <mergeCell ref="Q71:Q72"/>
    <mergeCell ref="R71:R72"/>
    <mergeCell ref="L73:L74"/>
    <mergeCell ref="M73:M74"/>
    <mergeCell ref="N73:N74"/>
    <mergeCell ref="O73:O74"/>
    <mergeCell ref="P73:P74"/>
    <mergeCell ref="Q73:Q74"/>
    <mergeCell ref="R73:R74"/>
    <mergeCell ref="L75:L76"/>
    <mergeCell ref="M75:M76"/>
    <mergeCell ref="N75:N76"/>
    <mergeCell ref="O75:O76"/>
    <mergeCell ref="P75:P76"/>
    <mergeCell ref="Q75:Q76"/>
    <mergeCell ref="R75:R76"/>
    <mergeCell ref="L78:L79"/>
    <mergeCell ref="M78:M79"/>
    <mergeCell ref="N78:N79"/>
    <mergeCell ref="O78:O79"/>
    <mergeCell ref="P78:P79"/>
    <mergeCell ref="Q78:Q79"/>
    <mergeCell ref="R78:R79"/>
    <mergeCell ref="L80:L81"/>
    <mergeCell ref="M80:M81"/>
    <mergeCell ref="N80:N81"/>
    <mergeCell ref="O80:O81"/>
    <mergeCell ref="P80:P81"/>
    <mergeCell ref="Q80:Q81"/>
    <mergeCell ref="R80:R81"/>
    <mergeCell ref="R82:R83"/>
    <mergeCell ref="L84:L85"/>
    <mergeCell ref="M84:M85"/>
    <mergeCell ref="N84:N85"/>
    <mergeCell ref="O84:O85"/>
    <mergeCell ref="P84:P85"/>
    <mergeCell ref="Q84:Q85"/>
    <mergeCell ref="R84:R85"/>
    <mergeCell ref="L82:L83"/>
    <mergeCell ref="M82:M83"/>
    <mergeCell ref="L87:L88"/>
    <mergeCell ref="M87:M88"/>
    <mergeCell ref="P82:P83"/>
    <mergeCell ref="Q82:Q83"/>
    <mergeCell ref="N82:N83"/>
    <mergeCell ref="O82:O83"/>
    <mergeCell ref="P87:P88"/>
    <mergeCell ref="Q87:Q88"/>
    <mergeCell ref="R87:R88"/>
    <mergeCell ref="N89:N90"/>
    <mergeCell ref="O89:O90"/>
    <mergeCell ref="P89:P90"/>
    <mergeCell ref="Q89:Q90"/>
    <mergeCell ref="R89:R90"/>
    <mergeCell ref="N87:N88"/>
    <mergeCell ref="O87:O88"/>
    <mergeCell ref="L89:L90"/>
    <mergeCell ref="M89:M90"/>
    <mergeCell ref="L140:L141"/>
    <mergeCell ref="M140:M141"/>
    <mergeCell ref="L91:L92"/>
    <mergeCell ref="M91:M92"/>
    <mergeCell ref="L98:L99"/>
    <mergeCell ref="M98:M99"/>
    <mergeCell ref="L107:L108"/>
    <mergeCell ref="M107:M108"/>
    <mergeCell ref="P142:P143"/>
    <mergeCell ref="Q142:Q143"/>
    <mergeCell ref="R142:R143"/>
    <mergeCell ref="L142:L143"/>
    <mergeCell ref="M142:M143"/>
    <mergeCell ref="N142:N143"/>
    <mergeCell ref="O142:O143"/>
    <mergeCell ref="P91:P92"/>
    <mergeCell ref="Q91:Q92"/>
    <mergeCell ref="R91:R92"/>
    <mergeCell ref="N91:N92"/>
    <mergeCell ref="O91:O92"/>
    <mergeCell ref="C93:C94"/>
    <mergeCell ref="D93:D94"/>
    <mergeCell ref="E93:E94"/>
    <mergeCell ref="F93:F94"/>
    <mergeCell ref="G93:G94"/>
    <mergeCell ref="H93:H94"/>
    <mergeCell ref="L93:L94"/>
    <mergeCell ref="M93:M94"/>
    <mergeCell ref="R93:R94"/>
    <mergeCell ref="N93:N94"/>
    <mergeCell ref="O93:O94"/>
    <mergeCell ref="P93:P94"/>
    <mergeCell ref="Q93:Q94"/>
    <mergeCell ref="G98:G99"/>
    <mergeCell ref="H98:H99"/>
    <mergeCell ref="C98:C99"/>
    <mergeCell ref="D98:D99"/>
    <mergeCell ref="E98:E99"/>
    <mergeCell ref="F98:F99"/>
    <mergeCell ref="R98:R99"/>
    <mergeCell ref="N98:N99"/>
    <mergeCell ref="O98:O99"/>
    <mergeCell ref="P98:P99"/>
    <mergeCell ref="Q98:Q99"/>
    <mergeCell ref="G107:G108"/>
    <mergeCell ref="H107:H108"/>
    <mergeCell ref="C107:C108"/>
    <mergeCell ref="D107:D108"/>
    <mergeCell ref="E107:E108"/>
    <mergeCell ref="F107:F108"/>
    <mergeCell ref="R107:R108"/>
    <mergeCell ref="N107:N108"/>
    <mergeCell ref="O107:O108"/>
    <mergeCell ref="P129:P130"/>
    <mergeCell ref="Q107:Q108"/>
    <mergeCell ref="N129:N130"/>
    <mergeCell ref="O129:O130"/>
    <mergeCell ref="Q129:Q130"/>
    <mergeCell ref="R129:R130"/>
    <mergeCell ref="N109:N110"/>
    <mergeCell ref="C100:C101"/>
    <mergeCell ref="D100:D101"/>
    <mergeCell ref="E100:E101"/>
    <mergeCell ref="F100:F101"/>
    <mergeCell ref="G100:G101"/>
    <mergeCell ref="H100:H101"/>
    <mergeCell ref="L100:L101"/>
    <mergeCell ref="M100:M101"/>
    <mergeCell ref="R100:R101"/>
    <mergeCell ref="N100:N101"/>
    <mergeCell ref="O100:O101"/>
    <mergeCell ref="P100:P101"/>
    <mergeCell ref="Q100:Q101"/>
    <mergeCell ref="L105:L106"/>
    <mergeCell ref="M105:M106"/>
    <mergeCell ref="C105:C106"/>
    <mergeCell ref="D105:D106"/>
    <mergeCell ref="E105:E106"/>
    <mergeCell ref="F105:F106"/>
    <mergeCell ref="G105:G106"/>
    <mergeCell ref="H105:H106"/>
    <mergeCell ref="R105:R106"/>
    <mergeCell ref="N105:N106"/>
    <mergeCell ref="O105:O106"/>
    <mergeCell ref="P105:P106"/>
    <mergeCell ref="Q105:Q106"/>
    <mergeCell ref="C129:C130"/>
    <mergeCell ref="D129:D130"/>
    <mergeCell ref="E129:E130"/>
    <mergeCell ref="F129:F130"/>
    <mergeCell ref="G129:G130"/>
    <mergeCell ref="H129:H130"/>
    <mergeCell ref="L129:L130"/>
    <mergeCell ref="M129:M130"/>
    <mergeCell ref="P109:P110"/>
    <mergeCell ref="Q109:Q110"/>
    <mergeCell ref="R109:R110"/>
    <mergeCell ref="G109:G110"/>
    <mergeCell ref="H109:H110"/>
    <mergeCell ref="L109:L110"/>
    <mergeCell ref="M109:M110"/>
    <mergeCell ref="O109:O110"/>
    <mergeCell ref="E111:E112"/>
    <mergeCell ref="F111:F112"/>
    <mergeCell ref="C109:C110"/>
    <mergeCell ref="D109:D110"/>
    <mergeCell ref="E109:E110"/>
    <mergeCell ref="F109:F110"/>
    <mergeCell ref="G111:G112"/>
    <mergeCell ref="H111:H112"/>
    <mergeCell ref="C114:C115"/>
    <mergeCell ref="D114:D115"/>
    <mergeCell ref="E114:E115"/>
    <mergeCell ref="F114:F115"/>
    <mergeCell ref="G114:G115"/>
    <mergeCell ref="H114:H115"/>
    <mergeCell ref="C111:C112"/>
    <mergeCell ref="D111:D112"/>
    <mergeCell ref="L114:L115"/>
    <mergeCell ref="M114:M115"/>
    <mergeCell ref="R114:R115"/>
    <mergeCell ref="N114:N115"/>
    <mergeCell ref="O114:O115"/>
    <mergeCell ref="P114:P115"/>
    <mergeCell ref="Q114:Q115"/>
    <mergeCell ref="C116:C117"/>
    <mergeCell ref="D116:D117"/>
    <mergeCell ref="E116:E117"/>
    <mergeCell ref="F116:F117"/>
    <mergeCell ref="G116:G117"/>
    <mergeCell ref="H116:H117"/>
    <mergeCell ref="L116:L117"/>
    <mergeCell ref="M116:M117"/>
    <mergeCell ref="N116:N117"/>
    <mergeCell ref="O116:O117"/>
    <mergeCell ref="P116:P117"/>
    <mergeCell ref="Q116:Q117"/>
    <mergeCell ref="R116:R117"/>
    <mergeCell ref="C118:C119"/>
    <mergeCell ref="D118:D119"/>
    <mergeCell ref="E118:E119"/>
    <mergeCell ref="F118:F119"/>
    <mergeCell ref="G118:G119"/>
    <mergeCell ref="H118:H119"/>
    <mergeCell ref="L118:L119"/>
    <mergeCell ref="M118:M119"/>
    <mergeCell ref="N118:N119"/>
    <mergeCell ref="O118:O119"/>
    <mergeCell ref="P118:P119"/>
    <mergeCell ref="Q118:Q119"/>
    <mergeCell ref="R118:R119"/>
    <mergeCell ref="C120:C121"/>
    <mergeCell ref="D120:D121"/>
    <mergeCell ref="E120:E121"/>
    <mergeCell ref="F120:F121"/>
    <mergeCell ref="G120:G121"/>
    <mergeCell ref="H120:H121"/>
    <mergeCell ref="L120:L121"/>
    <mergeCell ref="M120:M121"/>
    <mergeCell ref="R120:R121"/>
    <mergeCell ref="N120:N121"/>
    <mergeCell ref="O120:O121"/>
    <mergeCell ref="P120:P121"/>
    <mergeCell ref="Q120:Q121"/>
    <mergeCell ref="C127:C128"/>
    <mergeCell ref="D127:D128"/>
    <mergeCell ref="E127:E128"/>
    <mergeCell ref="F127:F128"/>
    <mergeCell ref="G127:G128"/>
    <mergeCell ref="H127:H128"/>
    <mergeCell ref="L127:L128"/>
    <mergeCell ref="M127:M128"/>
    <mergeCell ref="R127:R128"/>
    <mergeCell ref="N127:N128"/>
    <mergeCell ref="O127:O128"/>
    <mergeCell ref="P127:P128"/>
    <mergeCell ref="Q127:Q128"/>
    <mergeCell ref="G132:G133"/>
    <mergeCell ref="H132:H133"/>
    <mergeCell ref="C132:C133"/>
    <mergeCell ref="D132:D133"/>
    <mergeCell ref="E132:E133"/>
    <mergeCell ref="F132:F133"/>
    <mergeCell ref="C136:C137"/>
    <mergeCell ref="D136:D137"/>
    <mergeCell ref="E136:E137"/>
    <mergeCell ref="F136:F137"/>
    <mergeCell ref="G136:G137"/>
    <mergeCell ref="H136:H137"/>
    <mergeCell ref="L136:L137"/>
    <mergeCell ref="M136:M137"/>
    <mergeCell ref="N136:N137"/>
    <mergeCell ref="O136:O137"/>
    <mergeCell ref="Q136:Q137"/>
    <mergeCell ref="R136:R137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2"/>
  <sheetViews>
    <sheetView showGridLines="0" workbookViewId="0" topLeftCell="A43">
      <selection activeCell="T239" sqref="T239:T240"/>
    </sheetView>
  </sheetViews>
  <sheetFormatPr defaultColWidth="9.00390625" defaultRowHeight="16.5"/>
  <cols>
    <col min="1" max="1" width="2.625" style="3" customWidth="1"/>
    <col min="2" max="8" width="12.00390625" style="3" customWidth="1"/>
    <col min="9" max="9" width="2.625" style="3" customWidth="1"/>
    <col min="10" max="16384" width="9.00390625" style="3" customWidth="1"/>
  </cols>
  <sheetData>
    <row r="1" spans="1:9" s="190" customFormat="1" ht="35.25" customHeight="1">
      <c r="A1" s="869" t="s">
        <v>363</v>
      </c>
      <c r="B1" s="820"/>
      <c r="C1" s="820"/>
      <c r="D1" s="820"/>
      <c r="E1" s="820"/>
      <c r="F1" s="820"/>
      <c r="G1" s="820"/>
      <c r="H1" s="820"/>
      <c r="I1" s="820"/>
    </row>
    <row r="2" spans="2:9" ht="80.25" customHeight="1">
      <c r="B2" s="1143" t="s">
        <v>364</v>
      </c>
      <c r="C2" s="1144"/>
      <c r="D2" s="1144"/>
      <c r="E2" s="1144"/>
      <c r="F2" s="1144"/>
      <c r="G2" s="1144"/>
      <c r="H2" s="1144"/>
      <c r="I2" s="208"/>
    </row>
    <row r="3" spans="1:9" ht="18.75" customHeight="1">
      <c r="A3" s="897" t="s">
        <v>366</v>
      </c>
      <c r="B3" s="898"/>
      <c r="C3" s="898"/>
      <c r="D3" s="898"/>
      <c r="E3" s="898"/>
      <c r="F3" s="898"/>
      <c r="G3" s="898"/>
      <c r="H3" s="898"/>
      <c r="I3" s="898"/>
    </row>
    <row r="4" spans="1:9" ht="18" customHeight="1" thickBot="1">
      <c r="A4" s="898" t="s">
        <v>367</v>
      </c>
      <c r="B4" s="898"/>
      <c r="C4" s="898"/>
      <c r="D4" s="898"/>
      <c r="E4" s="898"/>
      <c r="F4" s="898"/>
      <c r="G4" s="898"/>
      <c r="H4" s="898"/>
      <c r="I4" s="898"/>
    </row>
    <row r="5" spans="2:8" ht="18" customHeight="1">
      <c r="B5" s="799" t="s">
        <v>278</v>
      </c>
      <c r="C5" s="1142" t="s">
        <v>368</v>
      </c>
      <c r="D5" s="760"/>
      <c r="E5" s="1132" t="s">
        <v>369</v>
      </c>
      <c r="F5" s="1133"/>
      <c r="G5" s="856" t="s">
        <v>370</v>
      </c>
      <c r="H5" s="857"/>
    </row>
    <row r="6" spans="2:8" ht="18.75" customHeight="1">
      <c r="B6" s="800"/>
      <c r="C6" s="1145" t="s">
        <v>371</v>
      </c>
      <c r="D6" s="1146"/>
      <c r="E6" s="1134" t="s">
        <v>1373</v>
      </c>
      <c r="F6" s="1135"/>
      <c r="G6" s="811" t="s">
        <v>372</v>
      </c>
      <c r="H6" s="812"/>
    </row>
    <row r="7" spans="2:8" ht="15" customHeight="1">
      <c r="B7" s="800"/>
      <c r="C7" s="235" t="s">
        <v>373</v>
      </c>
      <c r="D7" s="236" t="s">
        <v>374</v>
      </c>
      <c r="E7" s="237" t="s">
        <v>373</v>
      </c>
      <c r="F7" s="238" t="s">
        <v>374</v>
      </c>
      <c r="G7" s="237" t="s">
        <v>290</v>
      </c>
      <c r="H7" s="215" t="s">
        <v>375</v>
      </c>
    </row>
    <row r="8" spans="2:8" ht="15" customHeight="1">
      <c r="B8" s="874" t="s">
        <v>362</v>
      </c>
      <c r="C8" s="239"/>
      <c r="D8" s="240"/>
      <c r="E8" s="171"/>
      <c r="F8" s="241"/>
      <c r="G8" s="189"/>
      <c r="H8" s="242" t="s">
        <v>376</v>
      </c>
    </row>
    <row r="9" spans="2:8" ht="15" customHeight="1">
      <c r="B9" s="874"/>
      <c r="C9" s="243" t="s">
        <v>377</v>
      </c>
      <c r="D9" s="244" t="s">
        <v>377</v>
      </c>
      <c r="E9" s="216" t="s">
        <v>378</v>
      </c>
      <c r="F9" s="245" t="s">
        <v>378</v>
      </c>
      <c r="G9" s="216" t="s">
        <v>377</v>
      </c>
      <c r="H9" s="242" t="s">
        <v>1355</v>
      </c>
    </row>
    <row r="10" spans="2:8" ht="18" customHeight="1">
      <c r="B10" s="874"/>
      <c r="C10" s="1137" t="s">
        <v>379</v>
      </c>
      <c r="D10" s="231" t="s">
        <v>1370</v>
      </c>
      <c r="E10" s="772" t="s">
        <v>379</v>
      </c>
      <c r="F10" s="246" t="s">
        <v>1370</v>
      </c>
      <c r="G10" s="772" t="s">
        <v>380</v>
      </c>
      <c r="H10" s="1046" t="s">
        <v>381</v>
      </c>
    </row>
    <row r="11" spans="2:8" ht="18" customHeight="1">
      <c r="B11" s="874"/>
      <c r="C11" s="1138"/>
      <c r="D11" s="231" t="s">
        <v>1371</v>
      </c>
      <c r="E11" s="1147"/>
      <c r="F11" s="246" t="s">
        <v>1371</v>
      </c>
      <c r="G11" s="794"/>
      <c r="H11" s="1140"/>
    </row>
    <row r="12" spans="2:8" ht="12" customHeight="1" thickBot="1">
      <c r="B12" s="875"/>
      <c r="C12" s="1139"/>
      <c r="D12" s="232" t="s">
        <v>1372</v>
      </c>
      <c r="E12" s="1148"/>
      <c r="F12" s="247" t="s">
        <v>1372</v>
      </c>
      <c r="G12" s="845"/>
      <c r="H12" s="1141"/>
    </row>
    <row r="13" spans="2:8" ht="21" customHeight="1" hidden="1">
      <c r="B13" s="115" t="s">
        <v>311</v>
      </c>
      <c r="C13" s="154">
        <v>230</v>
      </c>
      <c r="D13" s="154">
        <v>2</v>
      </c>
      <c r="E13" s="154">
        <v>629</v>
      </c>
      <c r="F13" s="154">
        <v>47</v>
      </c>
      <c r="G13" s="139">
        <v>2552</v>
      </c>
      <c r="H13" s="139">
        <v>671</v>
      </c>
    </row>
    <row r="14" spans="2:8" ht="18" customHeight="1" hidden="1">
      <c r="B14" s="112" t="s">
        <v>313</v>
      </c>
      <c r="C14" s="154">
        <v>233</v>
      </c>
      <c r="D14" s="154">
        <v>13</v>
      </c>
      <c r="E14" s="154">
        <v>1199</v>
      </c>
      <c r="F14" s="154">
        <v>172</v>
      </c>
      <c r="G14" s="139">
        <v>3782</v>
      </c>
      <c r="H14" s="139">
        <v>511</v>
      </c>
    </row>
    <row r="15" spans="2:8" ht="18" customHeight="1" hidden="1">
      <c r="B15" s="112" t="s">
        <v>314</v>
      </c>
      <c r="C15" s="154">
        <v>620</v>
      </c>
      <c r="D15" s="154">
        <v>20</v>
      </c>
      <c r="E15" s="154">
        <v>1122</v>
      </c>
      <c r="F15" s="154">
        <v>164</v>
      </c>
      <c r="G15" s="139">
        <v>3962</v>
      </c>
      <c r="H15" s="139">
        <v>334</v>
      </c>
    </row>
    <row r="16" spans="2:6" ht="6.75" customHeight="1" hidden="1">
      <c r="B16" s="122"/>
      <c r="C16" s="154"/>
      <c r="D16" s="154"/>
      <c r="E16" s="154"/>
      <c r="F16" s="154"/>
    </row>
    <row r="17" spans="2:8" ht="19.5" customHeight="1" hidden="1">
      <c r="B17" s="112" t="s">
        <v>315</v>
      </c>
      <c r="C17" s="5">
        <v>546</v>
      </c>
      <c r="D17" s="5">
        <v>32</v>
      </c>
      <c r="E17" s="154">
        <v>4540</v>
      </c>
      <c r="F17" s="154">
        <v>416</v>
      </c>
      <c r="G17" s="154">
        <v>2697</v>
      </c>
      <c r="H17" s="154">
        <v>138</v>
      </c>
    </row>
    <row r="18" spans="2:8" ht="19.5" customHeight="1" hidden="1">
      <c r="B18" s="112" t="s">
        <v>316</v>
      </c>
      <c r="C18" s="5">
        <v>577</v>
      </c>
      <c r="D18" s="5">
        <v>31</v>
      </c>
      <c r="E18" s="154">
        <v>4278</v>
      </c>
      <c r="F18" s="154">
        <v>286</v>
      </c>
      <c r="G18" s="154">
        <v>3772</v>
      </c>
      <c r="H18" s="154">
        <v>12</v>
      </c>
    </row>
    <row r="19" spans="2:8" ht="21.75" customHeight="1" hidden="1">
      <c r="B19" s="112" t="s">
        <v>317</v>
      </c>
      <c r="C19" s="5">
        <v>1334</v>
      </c>
      <c r="D19" s="5">
        <v>28</v>
      </c>
      <c r="E19" s="154">
        <v>4503</v>
      </c>
      <c r="F19" s="154">
        <v>238</v>
      </c>
      <c r="G19" s="154">
        <v>3459</v>
      </c>
      <c r="H19" s="154">
        <v>3</v>
      </c>
    </row>
    <row r="20" spans="2:8" ht="21.75" customHeight="1">
      <c r="B20" s="112" t="s">
        <v>318</v>
      </c>
      <c r="C20" s="5">
        <v>1280</v>
      </c>
      <c r="D20" s="5">
        <v>29</v>
      </c>
      <c r="E20" s="154">
        <v>3463</v>
      </c>
      <c r="F20" s="154">
        <v>56</v>
      </c>
      <c r="G20" s="154">
        <v>3050</v>
      </c>
      <c r="H20" s="154">
        <v>28</v>
      </c>
    </row>
    <row r="21" spans="2:8" ht="21.75" customHeight="1">
      <c r="B21" s="112" t="s">
        <v>319</v>
      </c>
      <c r="C21" s="5">
        <v>641</v>
      </c>
      <c r="D21" s="5">
        <v>15</v>
      </c>
      <c r="E21" s="154">
        <v>3517</v>
      </c>
      <c r="F21" s="154">
        <v>53</v>
      </c>
      <c r="G21" s="154">
        <v>2870</v>
      </c>
      <c r="H21" s="154">
        <v>83</v>
      </c>
    </row>
    <row r="22" spans="2:8" ht="21.75" customHeight="1">
      <c r="B22" s="112" t="s">
        <v>320</v>
      </c>
      <c r="C22" s="5">
        <v>679</v>
      </c>
      <c r="D22" s="5">
        <v>24</v>
      </c>
      <c r="E22" s="5">
        <v>4353</v>
      </c>
      <c r="F22" s="5">
        <v>134</v>
      </c>
      <c r="G22" s="154">
        <v>2253</v>
      </c>
      <c r="H22" s="154">
        <v>82</v>
      </c>
    </row>
    <row r="23" spans="2:8" ht="21.75" customHeight="1">
      <c r="B23" s="112" t="s">
        <v>325</v>
      </c>
      <c r="C23" s="5">
        <v>1440</v>
      </c>
      <c r="D23" s="5">
        <v>33</v>
      </c>
      <c r="E23" s="5">
        <v>5984</v>
      </c>
      <c r="F23" s="5">
        <v>179</v>
      </c>
      <c r="G23" s="5">
        <v>2424</v>
      </c>
      <c r="H23" s="5">
        <v>52</v>
      </c>
    </row>
    <row r="24" spans="2:8" ht="21.75" customHeight="1">
      <c r="B24" s="112" t="s">
        <v>326</v>
      </c>
      <c r="C24" s="168">
        <v>1158</v>
      </c>
      <c r="D24" s="5">
        <v>82</v>
      </c>
      <c r="E24" s="248">
        <v>4935</v>
      </c>
      <c r="F24" s="5">
        <v>74</v>
      </c>
      <c r="G24" s="5">
        <v>2608</v>
      </c>
      <c r="H24" s="5">
        <v>189</v>
      </c>
    </row>
    <row r="25" spans="2:8" ht="21.75" customHeight="1">
      <c r="B25" s="112" t="s">
        <v>331</v>
      </c>
      <c r="C25" s="168">
        <f aca="true" t="shared" si="0" ref="C25:H25">SUM(C26:C33)</f>
        <v>1460</v>
      </c>
      <c r="D25" s="5">
        <f t="shared" si="0"/>
        <v>21</v>
      </c>
      <c r="E25" s="248">
        <f t="shared" si="0"/>
        <v>6140</v>
      </c>
      <c r="F25" s="5">
        <f t="shared" si="0"/>
        <v>129</v>
      </c>
      <c r="G25" s="5">
        <f t="shared" si="0"/>
        <v>2579</v>
      </c>
      <c r="H25" s="5">
        <f t="shared" si="0"/>
        <v>384</v>
      </c>
    </row>
    <row r="26" spans="2:8" ht="13.5" customHeight="1" hidden="1">
      <c r="B26" s="112" t="s">
        <v>327</v>
      </c>
      <c r="C26" s="168">
        <v>175</v>
      </c>
      <c r="D26" s="900">
        <v>4</v>
      </c>
      <c r="E26" s="900">
        <v>1515</v>
      </c>
      <c r="F26" s="900">
        <v>48</v>
      </c>
      <c r="G26" s="900">
        <v>635</v>
      </c>
      <c r="H26" s="900">
        <v>130</v>
      </c>
    </row>
    <row r="27" spans="2:8" ht="13.5" customHeight="1" hidden="1">
      <c r="B27" s="122" t="s">
        <v>1333</v>
      </c>
      <c r="C27" s="168"/>
      <c r="D27" s="792"/>
      <c r="E27" s="792"/>
      <c r="F27" s="792"/>
      <c r="G27" s="792"/>
      <c r="H27" s="792"/>
    </row>
    <row r="28" spans="2:8" ht="13.5" customHeight="1" hidden="1">
      <c r="B28" s="112" t="s">
        <v>328</v>
      </c>
      <c r="C28" s="168">
        <v>319</v>
      </c>
      <c r="D28" s="900">
        <v>6</v>
      </c>
      <c r="E28" s="900">
        <v>1883</v>
      </c>
      <c r="F28" s="900">
        <v>40</v>
      </c>
      <c r="G28" s="900">
        <v>642</v>
      </c>
      <c r="H28" s="900">
        <v>125</v>
      </c>
    </row>
    <row r="29" spans="2:8" ht="13.5" customHeight="1" hidden="1">
      <c r="B29" s="122" t="s">
        <v>1334</v>
      </c>
      <c r="C29" s="168"/>
      <c r="D29" s="792"/>
      <c r="E29" s="792"/>
      <c r="F29" s="792"/>
      <c r="G29" s="792"/>
      <c r="H29" s="792"/>
    </row>
    <row r="30" spans="2:8" ht="13.5" customHeight="1" hidden="1">
      <c r="B30" s="112" t="s">
        <v>329</v>
      </c>
      <c r="C30" s="168">
        <v>592</v>
      </c>
      <c r="D30" s="900">
        <v>4</v>
      </c>
      <c r="E30" s="900">
        <v>1531</v>
      </c>
      <c r="F30" s="900">
        <v>26</v>
      </c>
      <c r="G30" s="900">
        <v>662</v>
      </c>
      <c r="H30" s="900">
        <v>65</v>
      </c>
    </row>
    <row r="31" spans="2:8" ht="13.5" customHeight="1" hidden="1">
      <c r="B31" s="122" t="s">
        <v>1335</v>
      </c>
      <c r="C31" s="168"/>
      <c r="D31" s="792"/>
      <c r="E31" s="792"/>
      <c r="F31" s="792"/>
      <c r="G31" s="792"/>
      <c r="H31" s="792"/>
    </row>
    <row r="32" spans="2:8" ht="13.5" customHeight="1" hidden="1">
      <c r="B32" s="112" t="s">
        <v>330</v>
      </c>
      <c r="C32" s="168">
        <v>374</v>
      </c>
      <c r="D32" s="900">
        <v>7</v>
      </c>
      <c r="E32" s="900">
        <v>1211</v>
      </c>
      <c r="F32" s="900">
        <v>15</v>
      </c>
      <c r="G32" s="900">
        <v>640</v>
      </c>
      <c r="H32" s="900">
        <v>64</v>
      </c>
    </row>
    <row r="33" spans="2:8" ht="13.5" customHeight="1" hidden="1">
      <c r="B33" s="122" t="s">
        <v>1336</v>
      </c>
      <c r="C33" s="168"/>
      <c r="D33" s="792"/>
      <c r="E33" s="792"/>
      <c r="F33" s="792"/>
      <c r="G33" s="792"/>
      <c r="H33" s="792"/>
    </row>
    <row r="34" spans="2:8" ht="21.75" customHeight="1">
      <c r="B34" s="112" t="s">
        <v>332</v>
      </c>
      <c r="C34" s="168">
        <f aca="true" t="shared" si="1" ref="C34:H34">SUM(C35:C42)</f>
        <v>1094</v>
      </c>
      <c r="D34" s="5">
        <f t="shared" si="1"/>
        <v>28</v>
      </c>
      <c r="E34" s="5">
        <f t="shared" si="1"/>
        <v>5972</v>
      </c>
      <c r="F34" s="5">
        <f t="shared" si="1"/>
        <v>66</v>
      </c>
      <c r="G34" s="5">
        <f t="shared" si="1"/>
        <v>2581</v>
      </c>
      <c r="H34" s="5">
        <f t="shared" si="1"/>
        <v>274</v>
      </c>
    </row>
    <row r="35" spans="2:8" ht="13.5" customHeight="1" hidden="1">
      <c r="B35" s="112" t="s">
        <v>327</v>
      </c>
      <c r="C35" s="765">
        <v>243</v>
      </c>
      <c r="D35" s="900">
        <v>6</v>
      </c>
      <c r="E35" s="900">
        <v>1265</v>
      </c>
      <c r="F35" s="900">
        <v>19</v>
      </c>
      <c r="G35" s="900">
        <v>622</v>
      </c>
      <c r="H35" s="900">
        <v>59</v>
      </c>
    </row>
    <row r="36" spans="2:8" ht="13.5" customHeight="1" hidden="1">
      <c r="B36" s="122" t="s">
        <v>1333</v>
      </c>
      <c r="C36" s="1136"/>
      <c r="D36" s="792"/>
      <c r="E36" s="792"/>
      <c r="F36" s="792"/>
      <c r="G36" s="792"/>
      <c r="H36" s="792"/>
    </row>
    <row r="37" spans="2:8" ht="13.5" customHeight="1" hidden="1">
      <c r="B37" s="112" t="s">
        <v>328</v>
      </c>
      <c r="C37" s="765">
        <v>187</v>
      </c>
      <c r="D37" s="900">
        <v>6</v>
      </c>
      <c r="E37" s="900">
        <v>1650</v>
      </c>
      <c r="F37" s="900">
        <v>26</v>
      </c>
      <c r="G37" s="900">
        <v>626</v>
      </c>
      <c r="H37" s="900">
        <v>74</v>
      </c>
    </row>
    <row r="38" spans="2:8" ht="13.5" customHeight="1" hidden="1">
      <c r="B38" s="122" t="s">
        <v>1334</v>
      </c>
      <c r="C38" s="1136"/>
      <c r="D38" s="792"/>
      <c r="E38" s="792"/>
      <c r="F38" s="792"/>
      <c r="G38" s="792"/>
      <c r="H38" s="792"/>
    </row>
    <row r="39" spans="2:8" ht="13.5" customHeight="1" hidden="1">
      <c r="B39" s="112" t="s">
        <v>329</v>
      </c>
      <c r="C39" s="765">
        <v>260</v>
      </c>
      <c r="D39" s="900">
        <v>12</v>
      </c>
      <c r="E39" s="900">
        <v>1584</v>
      </c>
      <c r="F39" s="900">
        <v>13</v>
      </c>
      <c r="G39" s="900">
        <v>694</v>
      </c>
      <c r="H39" s="900">
        <v>73</v>
      </c>
    </row>
    <row r="40" spans="2:8" ht="3.75" customHeight="1" hidden="1">
      <c r="B40" s="122" t="s">
        <v>1335</v>
      </c>
      <c r="C40" s="1136"/>
      <c r="D40" s="792"/>
      <c r="E40" s="792"/>
      <c r="F40" s="792"/>
      <c r="G40" s="792"/>
      <c r="H40" s="792"/>
    </row>
    <row r="41" spans="2:8" ht="13.5" customHeight="1" hidden="1">
      <c r="B41" s="112" t="s">
        <v>330</v>
      </c>
      <c r="C41" s="168">
        <v>404</v>
      </c>
      <c r="D41" s="5">
        <v>4</v>
      </c>
      <c r="E41" s="5">
        <v>1473</v>
      </c>
      <c r="F41" s="5">
        <v>8</v>
      </c>
      <c r="G41" s="5">
        <v>639</v>
      </c>
      <c r="H41" s="5">
        <v>68</v>
      </c>
    </row>
    <row r="42" spans="2:8" ht="12.75" customHeight="1" hidden="1">
      <c r="B42" s="122" t="s">
        <v>1336</v>
      </c>
      <c r="C42" s="5"/>
      <c r="D42" s="390"/>
      <c r="E42" s="390"/>
      <c r="F42" s="390"/>
      <c r="G42" s="390"/>
      <c r="H42" s="390"/>
    </row>
    <row r="43" spans="2:8" ht="21.75" customHeight="1">
      <c r="B43" s="112" t="s">
        <v>333</v>
      </c>
      <c r="C43" s="5">
        <f aca="true" t="shared" si="2" ref="C43:H43">SUM(C44:C50)</f>
        <v>1589</v>
      </c>
      <c r="D43" s="5">
        <f t="shared" si="2"/>
        <v>29</v>
      </c>
      <c r="E43" s="5">
        <f t="shared" si="2"/>
        <v>3257</v>
      </c>
      <c r="F43" s="5">
        <f t="shared" si="2"/>
        <v>437</v>
      </c>
      <c r="G43" s="5">
        <f t="shared" si="2"/>
        <v>1993</v>
      </c>
      <c r="H43" s="5">
        <f t="shared" si="2"/>
        <v>514</v>
      </c>
    </row>
    <row r="44" spans="2:8" ht="13.5" customHeight="1" hidden="1">
      <c r="B44" s="112" t="s">
        <v>327</v>
      </c>
      <c r="C44" s="765">
        <v>468</v>
      </c>
      <c r="D44" s="900">
        <v>3</v>
      </c>
      <c r="E44" s="900">
        <v>831</v>
      </c>
      <c r="F44" s="900">
        <v>284</v>
      </c>
      <c r="G44" s="900">
        <v>549</v>
      </c>
      <c r="H44" s="900">
        <v>28</v>
      </c>
    </row>
    <row r="45" spans="2:8" ht="13.5" customHeight="1" hidden="1">
      <c r="B45" s="122" t="s">
        <v>1333</v>
      </c>
      <c r="C45" s="1136"/>
      <c r="D45" s="792"/>
      <c r="E45" s="792"/>
      <c r="F45" s="792"/>
      <c r="G45" s="792"/>
      <c r="H45" s="792"/>
    </row>
    <row r="46" spans="2:8" ht="13.5" customHeight="1" hidden="1">
      <c r="B46" s="112" t="s">
        <v>328</v>
      </c>
      <c r="C46" s="765">
        <v>391</v>
      </c>
      <c r="D46" s="900">
        <v>6</v>
      </c>
      <c r="E46" s="900">
        <v>1058</v>
      </c>
      <c r="F46" s="900">
        <v>69</v>
      </c>
      <c r="G46" s="900">
        <v>761</v>
      </c>
      <c r="H46" s="900">
        <v>251</v>
      </c>
    </row>
    <row r="47" spans="2:8" ht="13.5" customHeight="1" hidden="1">
      <c r="B47" s="122" t="s">
        <v>1334</v>
      </c>
      <c r="C47" s="1136"/>
      <c r="D47" s="792"/>
      <c r="E47" s="792"/>
      <c r="F47" s="792"/>
      <c r="G47" s="792"/>
      <c r="H47" s="792"/>
    </row>
    <row r="48" spans="2:8" ht="13.5" customHeight="1" hidden="1">
      <c r="B48" s="112" t="s">
        <v>329</v>
      </c>
      <c r="C48" s="900">
        <v>294</v>
      </c>
      <c r="D48" s="900">
        <v>7</v>
      </c>
      <c r="E48" s="900">
        <v>614</v>
      </c>
      <c r="F48" s="900">
        <v>58</v>
      </c>
      <c r="G48" s="900">
        <v>480</v>
      </c>
      <c r="H48" s="900">
        <v>185</v>
      </c>
    </row>
    <row r="49" spans="2:8" ht="13.5" customHeight="1" hidden="1">
      <c r="B49" s="122" t="s">
        <v>1335</v>
      </c>
      <c r="C49" s="792"/>
      <c r="D49" s="792"/>
      <c r="E49" s="792"/>
      <c r="F49" s="792"/>
      <c r="G49" s="792"/>
      <c r="H49" s="792"/>
    </row>
    <row r="50" spans="2:8" ht="13.5" customHeight="1" hidden="1">
      <c r="B50" s="112" t="s">
        <v>330</v>
      </c>
      <c r="C50" s="900">
        <v>436</v>
      </c>
      <c r="D50" s="900">
        <v>13</v>
      </c>
      <c r="E50" s="900">
        <v>754</v>
      </c>
      <c r="F50" s="900">
        <v>26</v>
      </c>
      <c r="G50" s="900">
        <v>203</v>
      </c>
      <c r="H50" s="900">
        <v>50</v>
      </c>
    </row>
    <row r="51" spans="2:8" ht="13.5" customHeight="1" hidden="1">
      <c r="B51" s="122" t="s">
        <v>1336</v>
      </c>
      <c r="C51" s="792"/>
      <c r="D51" s="792"/>
      <c r="E51" s="792"/>
      <c r="F51" s="792"/>
      <c r="G51" s="792"/>
      <c r="H51" s="792"/>
    </row>
    <row r="52" spans="2:8" ht="21.75" customHeight="1">
      <c r="B52" s="112" t="s">
        <v>334</v>
      </c>
      <c r="C52" s="5">
        <f aca="true" t="shared" si="3" ref="C52:H52">SUM(C53:C60)</f>
        <v>1492</v>
      </c>
      <c r="D52" s="5">
        <f t="shared" si="3"/>
        <v>83</v>
      </c>
      <c r="E52" s="5">
        <f t="shared" si="3"/>
        <v>2866</v>
      </c>
      <c r="F52" s="5">
        <f t="shared" si="3"/>
        <v>218</v>
      </c>
      <c r="G52" s="5">
        <f t="shared" si="3"/>
        <v>1855</v>
      </c>
      <c r="H52" s="5">
        <f t="shared" si="3"/>
        <v>735</v>
      </c>
    </row>
    <row r="53" spans="2:8" ht="13.5" customHeight="1" hidden="1">
      <c r="B53" s="112" t="s">
        <v>327</v>
      </c>
      <c r="C53" s="900">
        <v>299</v>
      </c>
      <c r="D53" s="900">
        <v>5</v>
      </c>
      <c r="E53" s="900">
        <v>751</v>
      </c>
      <c r="F53" s="900">
        <v>49</v>
      </c>
      <c r="G53" s="900">
        <v>355</v>
      </c>
      <c r="H53" s="900">
        <v>154</v>
      </c>
    </row>
    <row r="54" spans="2:8" ht="13.5" customHeight="1" hidden="1">
      <c r="B54" s="122" t="s">
        <v>1333</v>
      </c>
      <c r="C54" s="792"/>
      <c r="D54" s="792"/>
      <c r="E54" s="792"/>
      <c r="F54" s="792"/>
      <c r="G54" s="792"/>
      <c r="H54" s="792"/>
    </row>
    <row r="55" spans="2:8" ht="13.5" customHeight="1" hidden="1">
      <c r="B55" s="112" t="s">
        <v>328</v>
      </c>
      <c r="C55" s="900">
        <v>302</v>
      </c>
      <c r="D55" s="900">
        <v>3</v>
      </c>
      <c r="E55" s="900">
        <v>628</v>
      </c>
      <c r="F55" s="900">
        <v>42</v>
      </c>
      <c r="G55" s="900">
        <v>744</v>
      </c>
      <c r="H55" s="900">
        <v>327</v>
      </c>
    </row>
    <row r="56" spans="2:8" ht="13.5" customHeight="1" hidden="1">
      <c r="B56" s="122" t="s">
        <v>1334</v>
      </c>
      <c r="C56" s="792"/>
      <c r="D56" s="792"/>
      <c r="E56" s="792"/>
      <c r="F56" s="792"/>
      <c r="G56" s="792"/>
      <c r="H56" s="792"/>
    </row>
    <row r="57" spans="2:8" ht="10.5" customHeight="1" hidden="1">
      <c r="B57" s="112" t="s">
        <v>329</v>
      </c>
      <c r="C57" s="900">
        <v>369</v>
      </c>
      <c r="D57" s="900">
        <v>59</v>
      </c>
      <c r="E57" s="900">
        <v>668</v>
      </c>
      <c r="F57" s="900">
        <v>65</v>
      </c>
      <c r="G57" s="900">
        <v>440</v>
      </c>
      <c r="H57" s="900">
        <v>124</v>
      </c>
    </row>
    <row r="58" spans="2:8" ht="10.5" customHeight="1" hidden="1">
      <c r="B58" s="122" t="s">
        <v>1335</v>
      </c>
      <c r="C58" s="792"/>
      <c r="D58" s="792"/>
      <c r="E58" s="792"/>
      <c r="F58" s="792"/>
      <c r="G58" s="792"/>
      <c r="H58" s="792"/>
    </row>
    <row r="59" spans="2:8" ht="10.5" customHeight="1" hidden="1">
      <c r="B59" s="112" t="s">
        <v>330</v>
      </c>
      <c r="C59" s="900">
        <v>522</v>
      </c>
      <c r="D59" s="900">
        <v>16</v>
      </c>
      <c r="E59" s="900">
        <v>819</v>
      </c>
      <c r="F59" s="900">
        <v>62</v>
      </c>
      <c r="G59" s="900">
        <v>316</v>
      </c>
      <c r="H59" s="900">
        <v>130</v>
      </c>
    </row>
    <row r="60" spans="2:8" ht="10.5" customHeight="1" hidden="1">
      <c r="B60" s="122" t="s">
        <v>1336</v>
      </c>
      <c r="C60" s="792"/>
      <c r="D60" s="792"/>
      <c r="E60" s="792"/>
      <c r="F60" s="792"/>
      <c r="G60" s="792"/>
      <c r="H60" s="792"/>
    </row>
    <row r="61" spans="2:8" ht="21.75" customHeight="1">
      <c r="B61" s="112" t="s">
        <v>335</v>
      </c>
      <c r="C61" s="5">
        <f aca="true" t="shared" si="4" ref="C61:H61">SUM(C62:C69)</f>
        <v>927</v>
      </c>
      <c r="D61" s="5">
        <f t="shared" si="4"/>
        <v>39</v>
      </c>
      <c r="E61" s="5">
        <f t="shared" si="4"/>
        <v>1960</v>
      </c>
      <c r="F61" s="5">
        <f t="shared" si="4"/>
        <v>99</v>
      </c>
      <c r="G61" s="5">
        <f t="shared" si="4"/>
        <v>1748</v>
      </c>
      <c r="H61" s="5">
        <f t="shared" si="4"/>
        <v>574</v>
      </c>
    </row>
    <row r="62" spans="2:8" ht="10.5" customHeight="1" hidden="1">
      <c r="B62" s="112" t="s">
        <v>327</v>
      </c>
      <c r="C62" s="900">
        <v>308</v>
      </c>
      <c r="D62" s="900">
        <v>24</v>
      </c>
      <c r="E62" s="900">
        <v>392</v>
      </c>
      <c r="F62" s="900">
        <v>25</v>
      </c>
      <c r="G62" s="900">
        <v>434</v>
      </c>
      <c r="H62" s="900">
        <v>172</v>
      </c>
    </row>
    <row r="63" spans="2:8" ht="10.5" customHeight="1" hidden="1">
      <c r="B63" s="122" t="s">
        <v>1333</v>
      </c>
      <c r="C63" s="792"/>
      <c r="D63" s="792"/>
      <c r="E63" s="792"/>
      <c r="F63" s="792"/>
      <c r="G63" s="792"/>
      <c r="H63" s="792"/>
    </row>
    <row r="64" spans="2:8" ht="15" customHeight="1" hidden="1">
      <c r="B64" s="112" t="s">
        <v>328</v>
      </c>
      <c r="C64" s="900">
        <v>233</v>
      </c>
      <c r="D64" s="900">
        <v>4</v>
      </c>
      <c r="E64" s="900">
        <v>517</v>
      </c>
      <c r="F64" s="900">
        <v>30</v>
      </c>
      <c r="G64" s="900">
        <v>622</v>
      </c>
      <c r="H64" s="900">
        <v>269</v>
      </c>
    </row>
    <row r="65" spans="2:8" ht="15" customHeight="1" hidden="1">
      <c r="B65" s="122" t="s">
        <v>1334</v>
      </c>
      <c r="C65" s="792"/>
      <c r="D65" s="792"/>
      <c r="E65" s="792"/>
      <c r="F65" s="792"/>
      <c r="G65" s="792"/>
      <c r="H65" s="792"/>
    </row>
    <row r="66" spans="2:8" ht="15" customHeight="1" hidden="1">
      <c r="B66" s="112" t="s">
        <v>329</v>
      </c>
      <c r="C66" s="900">
        <v>160</v>
      </c>
      <c r="D66" s="900">
        <v>6</v>
      </c>
      <c r="E66" s="900">
        <v>555</v>
      </c>
      <c r="F66" s="900">
        <v>25</v>
      </c>
      <c r="G66" s="900">
        <v>349</v>
      </c>
      <c r="H66" s="900">
        <v>52</v>
      </c>
    </row>
    <row r="67" spans="2:8" ht="15" customHeight="1" hidden="1">
      <c r="B67" s="122" t="s">
        <v>1335</v>
      </c>
      <c r="C67" s="792"/>
      <c r="D67" s="792"/>
      <c r="E67" s="792"/>
      <c r="F67" s="792"/>
      <c r="G67" s="792"/>
      <c r="H67" s="792"/>
    </row>
    <row r="68" spans="2:8" ht="15" customHeight="1">
      <c r="B68" s="112" t="s">
        <v>330</v>
      </c>
      <c r="C68" s="900">
        <v>226</v>
      </c>
      <c r="D68" s="900">
        <v>5</v>
      </c>
      <c r="E68" s="900">
        <v>496</v>
      </c>
      <c r="F68" s="900">
        <v>19</v>
      </c>
      <c r="G68" s="900">
        <v>343</v>
      </c>
      <c r="H68" s="900">
        <v>81</v>
      </c>
    </row>
    <row r="69" spans="2:8" ht="15" customHeight="1">
      <c r="B69" s="122" t="s">
        <v>1336</v>
      </c>
      <c r="C69" s="792"/>
      <c r="D69" s="792"/>
      <c r="E69" s="792"/>
      <c r="F69" s="792"/>
      <c r="G69" s="792"/>
      <c r="H69" s="792"/>
    </row>
    <row r="70" spans="2:8" s="582" customFormat="1" ht="23.25" customHeight="1">
      <c r="B70" s="580" t="s">
        <v>336</v>
      </c>
      <c r="C70" s="642"/>
      <c r="D70" s="643"/>
      <c r="E70" s="643"/>
      <c r="F70" s="643"/>
      <c r="G70" s="643"/>
      <c r="H70" s="643"/>
    </row>
    <row r="71" spans="2:8" s="582" customFormat="1" ht="15" customHeight="1">
      <c r="B71" s="580" t="s">
        <v>337</v>
      </c>
      <c r="C71" s="1125">
        <v>225</v>
      </c>
      <c r="D71" s="1078">
        <v>5</v>
      </c>
      <c r="E71" s="1078">
        <v>337</v>
      </c>
      <c r="F71" s="1078">
        <v>14</v>
      </c>
      <c r="G71" s="1078">
        <v>539</v>
      </c>
      <c r="H71" s="1078">
        <v>106</v>
      </c>
    </row>
    <row r="72" spans="2:8" s="582" customFormat="1" ht="15" customHeight="1">
      <c r="B72" s="583" t="s">
        <v>1333</v>
      </c>
      <c r="C72" s="1125"/>
      <c r="D72" s="1078"/>
      <c r="E72" s="1078"/>
      <c r="F72" s="1078"/>
      <c r="G72" s="1078"/>
      <c r="H72" s="1078"/>
    </row>
    <row r="73" spans="2:8" s="582" customFormat="1" ht="15" customHeight="1">
      <c r="B73" s="112" t="s">
        <v>328</v>
      </c>
      <c r="C73" s="1131">
        <v>257</v>
      </c>
      <c r="D73" s="927">
        <v>5</v>
      </c>
      <c r="E73" s="927">
        <v>464</v>
      </c>
      <c r="F73" s="927">
        <v>74</v>
      </c>
      <c r="G73" s="927">
        <v>595</v>
      </c>
      <c r="H73" s="927">
        <v>330</v>
      </c>
    </row>
    <row r="74" spans="2:8" s="582" customFormat="1" ht="15" customHeight="1">
      <c r="B74" s="122" t="s">
        <v>1334</v>
      </c>
      <c r="C74" s="1131"/>
      <c r="D74" s="927"/>
      <c r="E74" s="927"/>
      <c r="F74" s="927"/>
      <c r="G74" s="927"/>
      <c r="H74" s="927"/>
    </row>
    <row r="75" spans="2:9" s="582" customFormat="1" ht="15" customHeight="1">
      <c r="B75" s="112" t="s">
        <v>329</v>
      </c>
      <c r="C75" s="1131">
        <v>211</v>
      </c>
      <c r="D75" s="927">
        <v>2</v>
      </c>
      <c r="E75" s="927">
        <v>399</v>
      </c>
      <c r="F75" s="927">
        <v>59</v>
      </c>
      <c r="G75" s="927">
        <v>373</v>
      </c>
      <c r="H75" s="927">
        <v>95</v>
      </c>
      <c r="I75" s="225"/>
    </row>
    <row r="76" spans="2:9" s="582" customFormat="1" ht="15" customHeight="1">
      <c r="B76" s="122" t="s">
        <v>1335</v>
      </c>
      <c r="C76" s="1131"/>
      <c r="D76" s="927"/>
      <c r="E76" s="927"/>
      <c r="F76" s="927"/>
      <c r="G76" s="927"/>
      <c r="H76" s="927"/>
      <c r="I76" s="225"/>
    </row>
    <row r="77" spans="2:9" s="582" customFormat="1" ht="15" customHeight="1">
      <c r="B77" s="112" t="s">
        <v>330</v>
      </c>
      <c r="C77" s="1131">
        <v>307</v>
      </c>
      <c r="D77" s="927">
        <v>12</v>
      </c>
      <c r="E77" s="927">
        <v>369</v>
      </c>
      <c r="F77" s="927">
        <v>37</v>
      </c>
      <c r="G77" s="927">
        <v>327</v>
      </c>
      <c r="H77" s="927">
        <v>213</v>
      </c>
      <c r="I77" s="225"/>
    </row>
    <row r="78" spans="2:9" s="582" customFormat="1" ht="15" customHeight="1" thickBot="1">
      <c r="B78" s="122" t="s">
        <v>1336</v>
      </c>
      <c r="C78" s="1149"/>
      <c r="D78" s="928"/>
      <c r="E78" s="928"/>
      <c r="F78" s="928"/>
      <c r="G78" s="928"/>
      <c r="H78" s="928"/>
      <c r="I78" s="225"/>
    </row>
    <row r="79" spans="2:9" s="582" customFormat="1" ht="21.75" customHeight="1">
      <c r="B79" s="584" t="s">
        <v>338</v>
      </c>
      <c r="C79" s="750">
        <f aca="true" t="shared" si="5" ref="C79:H79">(C77-C75)/C75*100</f>
        <v>45.497630331753555</v>
      </c>
      <c r="D79" s="844">
        <f t="shared" si="5"/>
        <v>500</v>
      </c>
      <c r="E79" s="844">
        <f t="shared" si="5"/>
        <v>-7.518796992481203</v>
      </c>
      <c r="F79" s="844">
        <f t="shared" si="5"/>
        <v>-37.28813559322034</v>
      </c>
      <c r="G79" s="844">
        <f t="shared" si="5"/>
        <v>-12.332439678284182</v>
      </c>
      <c r="H79" s="844">
        <f t="shared" si="5"/>
        <v>124.21052631578948</v>
      </c>
      <c r="I79" s="225"/>
    </row>
    <row r="80" spans="2:9" s="582" customFormat="1" ht="23.25" customHeight="1" thickBot="1">
      <c r="B80" s="645" t="s">
        <v>382</v>
      </c>
      <c r="C80" s="754"/>
      <c r="D80" s="839"/>
      <c r="E80" s="839"/>
      <c r="F80" s="839"/>
      <c r="G80" s="839"/>
      <c r="H80" s="839"/>
      <c r="I80" s="225"/>
    </row>
    <row r="81" spans="2:9" s="582" customFormat="1" ht="21.75" customHeight="1">
      <c r="B81" s="584" t="s">
        <v>340</v>
      </c>
      <c r="C81" s="750">
        <f aca="true" t="shared" si="6" ref="C81:H81">(C77-C68)/C68*100</f>
        <v>35.84070796460177</v>
      </c>
      <c r="D81" s="844">
        <f t="shared" si="6"/>
        <v>140</v>
      </c>
      <c r="E81" s="844">
        <f t="shared" si="6"/>
        <v>-25.60483870967742</v>
      </c>
      <c r="F81" s="844">
        <f t="shared" si="6"/>
        <v>94.73684210526315</v>
      </c>
      <c r="G81" s="844">
        <f t="shared" si="6"/>
        <v>-4.664723032069971</v>
      </c>
      <c r="H81" s="844">
        <f t="shared" si="6"/>
        <v>162.96296296296296</v>
      </c>
      <c r="I81" s="225"/>
    </row>
    <row r="82" spans="2:9" s="582" customFormat="1" ht="21" customHeight="1" thickBot="1">
      <c r="B82" s="585" t="s">
        <v>383</v>
      </c>
      <c r="C82" s="754"/>
      <c r="D82" s="839"/>
      <c r="E82" s="839"/>
      <c r="F82" s="792"/>
      <c r="G82" s="839"/>
      <c r="H82" s="839"/>
      <c r="I82" s="225"/>
    </row>
    <row r="83" spans="2:6" ht="14.25" customHeight="1">
      <c r="B83" s="113" t="s">
        <v>384</v>
      </c>
      <c r="F83" s="612"/>
    </row>
    <row r="84" ht="14.25" customHeight="1">
      <c r="B84" s="113" t="s">
        <v>385</v>
      </c>
    </row>
    <row r="85" spans="2:8" ht="14.25" customHeight="1">
      <c r="B85" s="1130" t="s">
        <v>386</v>
      </c>
      <c r="C85" s="1130"/>
      <c r="D85" s="1130"/>
      <c r="E85" s="1130"/>
      <c r="F85" s="1130"/>
      <c r="G85" s="1130"/>
      <c r="H85" s="1130"/>
    </row>
    <row r="86" spans="1:9" ht="24" customHeight="1">
      <c r="A86" s="899" t="s">
        <v>387</v>
      </c>
      <c r="B86" s="899"/>
      <c r="C86" s="899"/>
      <c r="D86" s="899"/>
      <c r="E86" s="899"/>
      <c r="F86" s="899"/>
      <c r="G86" s="899"/>
      <c r="H86" s="899"/>
      <c r="I86" s="899"/>
    </row>
    <row r="87" ht="54.75" customHeight="1"/>
    <row r="88" ht="30" customHeight="1"/>
    <row r="89" ht="30" customHeight="1"/>
    <row r="90" ht="30" customHeight="1"/>
    <row r="91" ht="30" customHeight="1"/>
    <row r="92" ht="30" customHeight="1"/>
    <row r="93" ht="30" customHeight="1" hidden="1"/>
    <row r="94" ht="30" customHeight="1" hidden="1"/>
    <row r="95" ht="30" customHeight="1" hidden="1"/>
    <row r="96" ht="30" customHeight="1"/>
    <row r="97" ht="30" customHeight="1" hidden="1"/>
    <row r="98" ht="30" customHeight="1" hidden="1"/>
    <row r="99" ht="30" customHeight="1" hidden="1"/>
    <row r="100" ht="30" customHeight="1" hidden="1">
      <c r="F100" s="194"/>
    </row>
    <row r="101" ht="30" customHeight="1" hidden="1">
      <c r="F101" s="194"/>
    </row>
    <row r="102" ht="30" customHeight="1" hidden="1"/>
    <row r="103" ht="30" customHeight="1" hidden="1"/>
    <row r="104" ht="30" customHeight="1" hidden="1"/>
    <row r="105" ht="30" customHeight="1"/>
    <row r="106" ht="30" customHeight="1" hidden="1"/>
    <row r="107" ht="30" customHeight="1" hidden="1"/>
    <row r="108" ht="30" customHeight="1" hidden="1"/>
    <row r="109" ht="30" customHeight="1" hidden="1"/>
    <row r="110" ht="30" customHeight="1" hidden="1"/>
    <row r="111" ht="30" customHeight="1" hidden="1"/>
    <row r="112" ht="30" customHeight="1" hidden="1"/>
    <row r="113" ht="30" customHeight="1" hidden="1"/>
    <row r="114" ht="30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9.75" customHeight="1">
      <c r="C132" s="135"/>
    </row>
    <row r="133" ht="16.5" customHeight="1"/>
    <row r="134" ht="16.5" customHeight="1"/>
    <row r="135" ht="16.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 hidden="1"/>
    <row r="162" ht="24.75" customHeight="1" hidden="1"/>
    <row r="163" ht="24.75" customHeight="1" hidden="1"/>
    <row r="164" ht="24.75" customHeight="1" hidden="1"/>
    <row r="165" ht="24.75" customHeight="1" hidden="1"/>
    <row r="166" ht="24.75" customHeight="1"/>
    <row r="167" ht="24.75" customHeight="1" hidden="1"/>
    <row r="168" ht="24.75" customHeight="1" hidden="1"/>
    <row r="169" ht="24.75" customHeight="1" hidden="1"/>
    <row r="170" ht="24.75" customHeight="1" hidden="1"/>
    <row r="171" ht="24.75" customHeight="1" hidden="1"/>
    <row r="172" spans="3:8" ht="24.75" customHeight="1" hidden="1">
      <c r="C172" s="3">
        <v>32378</v>
      </c>
      <c r="D172" s="3">
        <v>52330</v>
      </c>
      <c r="E172" s="3">
        <v>38797</v>
      </c>
      <c r="F172" s="3">
        <v>21710</v>
      </c>
      <c r="G172" s="3">
        <v>6004</v>
      </c>
      <c r="H172" s="3">
        <v>6067</v>
      </c>
    </row>
    <row r="173" ht="24.75" customHeight="1" hidden="1"/>
    <row r="174" ht="24.75" customHeight="1" hidden="1"/>
    <row r="175" ht="24.75" customHeight="1"/>
    <row r="176" ht="24.75" customHeight="1" hidden="1"/>
    <row r="177" ht="24.75" customHeight="1" hidden="1"/>
    <row r="178" ht="24.75" customHeight="1" hidden="1"/>
    <row r="179" ht="24.75" customHeight="1" hidden="1"/>
    <row r="180" ht="24.75" customHeight="1" hidden="1"/>
    <row r="181" ht="24.75" customHeight="1" hidden="1"/>
    <row r="182" ht="24.75" customHeight="1" hidden="1"/>
    <row r="183" ht="24.75" customHeight="1" hidden="1"/>
    <row r="184" ht="24.75" customHeight="1"/>
    <row r="193" ht="24.7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24" customHeight="1"/>
    <row r="203" ht="16.5" customHeight="1"/>
    <row r="204" ht="16.5" customHeight="1"/>
  </sheetData>
  <mergeCells count="164">
    <mergeCell ref="G77:G78"/>
    <mergeCell ref="H77:H78"/>
    <mergeCell ref="C77:C78"/>
    <mergeCell ref="D77:D78"/>
    <mergeCell ref="E77:E78"/>
    <mergeCell ref="F77:F78"/>
    <mergeCell ref="G73:G74"/>
    <mergeCell ref="H73:H74"/>
    <mergeCell ref="C73:C74"/>
    <mergeCell ref="D73:D74"/>
    <mergeCell ref="E73:E74"/>
    <mergeCell ref="F73:F74"/>
    <mergeCell ref="G71:G72"/>
    <mergeCell ref="H71:H72"/>
    <mergeCell ref="C71:C72"/>
    <mergeCell ref="D71:D72"/>
    <mergeCell ref="E71:E72"/>
    <mergeCell ref="F71:F72"/>
    <mergeCell ref="A3:I3"/>
    <mergeCell ref="A4:I4"/>
    <mergeCell ref="G64:G65"/>
    <mergeCell ref="H64:H65"/>
    <mergeCell ref="C64:C65"/>
    <mergeCell ref="D64:D65"/>
    <mergeCell ref="E64:E65"/>
    <mergeCell ref="F64:F65"/>
    <mergeCell ref="G62:G63"/>
    <mergeCell ref="H62:H63"/>
    <mergeCell ref="C62:C63"/>
    <mergeCell ref="D62:D63"/>
    <mergeCell ref="E62:E63"/>
    <mergeCell ref="F62:F63"/>
    <mergeCell ref="G59:G60"/>
    <mergeCell ref="H59:H60"/>
    <mergeCell ref="C59:C60"/>
    <mergeCell ref="D59:D60"/>
    <mergeCell ref="E59:E60"/>
    <mergeCell ref="F59:F60"/>
    <mergeCell ref="G50:G51"/>
    <mergeCell ref="H50:H51"/>
    <mergeCell ref="C50:C51"/>
    <mergeCell ref="D50:D51"/>
    <mergeCell ref="E50:E51"/>
    <mergeCell ref="F50:F51"/>
    <mergeCell ref="G48:G49"/>
    <mergeCell ref="H48:H49"/>
    <mergeCell ref="C48:C49"/>
    <mergeCell ref="D48:D49"/>
    <mergeCell ref="E48:E49"/>
    <mergeCell ref="F48:F49"/>
    <mergeCell ref="G55:G56"/>
    <mergeCell ref="H55:H56"/>
    <mergeCell ref="C55:C56"/>
    <mergeCell ref="D55:D56"/>
    <mergeCell ref="E55:E56"/>
    <mergeCell ref="F55:F56"/>
    <mergeCell ref="C44:C45"/>
    <mergeCell ref="D44:D45"/>
    <mergeCell ref="E44:E45"/>
    <mergeCell ref="F44:F45"/>
    <mergeCell ref="C46:C47"/>
    <mergeCell ref="D46:D47"/>
    <mergeCell ref="E46:E47"/>
    <mergeCell ref="F46:F47"/>
    <mergeCell ref="G39:G40"/>
    <mergeCell ref="H39:H40"/>
    <mergeCell ref="G44:G45"/>
    <mergeCell ref="H44:H45"/>
    <mergeCell ref="C37:C38"/>
    <mergeCell ref="D37:D38"/>
    <mergeCell ref="E37:E38"/>
    <mergeCell ref="F37:F38"/>
    <mergeCell ref="D32:D33"/>
    <mergeCell ref="E32:E33"/>
    <mergeCell ref="F32:F33"/>
    <mergeCell ref="G32:G33"/>
    <mergeCell ref="G81:G82"/>
    <mergeCell ref="H81:H82"/>
    <mergeCell ref="G79:G80"/>
    <mergeCell ref="H28:H29"/>
    <mergeCell ref="H32:H33"/>
    <mergeCell ref="H30:H31"/>
    <mergeCell ref="G46:G47"/>
    <mergeCell ref="H46:H47"/>
    <mergeCell ref="G37:G38"/>
    <mergeCell ref="H37:H38"/>
    <mergeCell ref="C81:C82"/>
    <mergeCell ref="D81:D82"/>
    <mergeCell ref="E81:E82"/>
    <mergeCell ref="F81:F82"/>
    <mergeCell ref="B8:B12"/>
    <mergeCell ref="C79:C80"/>
    <mergeCell ref="D79:D80"/>
    <mergeCell ref="E79:E80"/>
    <mergeCell ref="D30:D31"/>
    <mergeCell ref="E30:E31"/>
    <mergeCell ref="D28:D29"/>
    <mergeCell ref="E28:E29"/>
    <mergeCell ref="C39:C40"/>
    <mergeCell ref="D39:D40"/>
    <mergeCell ref="B5:B7"/>
    <mergeCell ref="C10:C12"/>
    <mergeCell ref="H10:H12"/>
    <mergeCell ref="A1:I1"/>
    <mergeCell ref="G5:H5"/>
    <mergeCell ref="C5:D5"/>
    <mergeCell ref="B2:H2"/>
    <mergeCell ref="G6:H6"/>
    <mergeCell ref="C6:D6"/>
    <mergeCell ref="E10:E12"/>
    <mergeCell ref="G10:G12"/>
    <mergeCell ref="H35:H36"/>
    <mergeCell ref="C35:C36"/>
    <mergeCell ref="D35:D36"/>
    <mergeCell ref="E35:E36"/>
    <mergeCell ref="F35:F36"/>
    <mergeCell ref="H26:H27"/>
    <mergeCell ref="D26:D27"/>
    <mergeCell ref="E26:E27"/>
    <mergeCell ref="F26:F27"/>
    <mergeCell ref="G35:G36"/>
    <mergeCell ref="G30:G31"/>
    <mergeCell ref="G26:G27"/>
    <mergeCell ref="G28:G29"/>
    <mergeCell ref="E39:E40"/>
    <mergeCell ref="F39:F40"/>
    <mergeCell ref="E5:F5"/>
    <mergeCell ref="E6:F6"/>
    <mergeCell ref="F30:F31"/>
    <mergeCell ref="F28:F29"/>
    <mergeCell ref="G53:G54"/>
    <mergeCell ref="H53:H54"/>
    <mergeCell ref="C53:C54"/>
    <mergeCell ref="D53:D54"/>
    <mergeCell ref="E53:E54"/>
    <mergeCell ref="F53:F54"/>
    <mergeCell ref="G68:G69"/>
    <mergeCell ref="H68:H69"/>
    <mergeCell ref="C68:C69"/>
    <mergeCell ref="D68:D69"/>
    <mergeCell ref="E68:E69"/>
    <mergeCell ref="F68:F69"/>
    <mergeCell ref="G57:G58"/>
    <mergeCell ref="H57:H58"/>
    <mergeCell ref="C57:C58"/>
    <mergeCell ref="D57:D58"/>
    <mergeCell ref="E57:E58"/>
    <mergeCell ref="F57:F58"/>
    <mergeCell ref="G66:G67"/>
    <mergeCell ref="H66:H67"/>
    <mergeCell ref="C66:C67"/>
    <mergeCell ref="D66:D67"/>
    <mergeCell ref="E66:E67"/>
    <mergeCell ref="F66:F67"/>
    <mergeCell ref="A86:I86"/>
    <mergeCell ref="B85:H85"/>
    <mergeCell ref="G75:G76"/>
    <mergeCell ref="H75:H76"/>
    <mergeCell ref="C75:C76"/>
    <mergeCell ref="D75:D76"/>
    <mergeCell ref="E75:E76"/>
    <mergeCell ref="F75:F76"/>
    <mergeCell ref="H79:H80"/>
    <mergeCell ref="F79:F80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85"/>
  <sheetViews>
    <sheetView zoomScaleSheetLayoutView="100" workbookViewId="0" topLeftCell="F43">
      <selection activeCell="N60" sqref="N60:N61"/>
    </sheetView>
  </sheetViews>
  <sheetFormatPr defaultColWidth="9.00390625" defaultRowHeight="24.75" customHeight="1"/>
  <cols>
    <col min="1" max="1" width="2.625" style="3" customWidth="1"/>
    <col min="2" max="2" width="10.75390625" style="3" customWidth="1"/>
    <col min="3" max="4" width="8.625" style="3" customWidth="1"/>
    <col min="5" max="6" width="8.625" style="440" customWidth="1"/>
    <col min="7" max="7" width="8.625" style="3" customWidth="1"/>
    <col min="8" max="8" width="8.50390625" style="3" customWidth="1"/>
    <col min="9" max="9" width="8.375" style="440" customWidth="1"/>
    <col min="10" max="10" width="8.00390625" style="440" customWidth="1"/>
    <col min="11" max="11" width="11.75390625" style="3" customWidth="1"/>
    <col min="12" max="12" width="2.625" style="3" customWidth="1"/>
    <col min="13" max="13" width="12.625" style="3" customWidth="1"/>
    <col min="14" max="15" width="8.125" style="440" customWidth="1"/>
    <col min="16" max="17" width="8.125" style="464" customWidth="1"/>
    <col min="18" max="19" width="8.125" style="440" customWidth="1"/>
    <col min="20" max="23" width="8.125" style="3" customWidth="1"/>
    <col min="24" max="24" width="8.625" style="521" customWidth="1"/>
    <col min="25" max="34" width="8.625" style="3" customWidth="1"/>
    <col min="35" max="35" width="9.00390625" style="3" customWidth="1"/>
    <col min="36" max="36" width="10.375" style="3" customWidth="1"/>
    <col min="37" max="37" width="11.50390625" style="3" customWidth="1"/>
    <col min="38" max="38" width="11.875" style="3" customWidth="1"/>
    <col min="39" max="39" width="9.00390625" style="3" customWidth="1"/>
    <col min="40" max="40" width="10.50390625" style="3" customWidth="1"/>
    <col min="41" max="16384" width="9.00390625" style="3" customWidth="1"/>
  </cols>
  <sheetData>
    <row r="1" spans="1:34" ht="49.5" customHeight="1">
      <c r="A1" s="1185" t="s">
        <v>1224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949" t="s">
        <v>1223</v>
      </c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1170" t="s">
        <v>1225</v>
      </c>
      <c r="Y1" s="1171"/>
      <c r="Z1" s="1171"/>
      <c r="AA1" s="1171"/>
      <c r="AB1" s="1171"/>
      <c r="AC1" s="1171"/>
      <c r="AD1" s="1171"/>
      <c r="AE1" s="1171"/>
      <c r="AF1" s="1171"/>
      <c r="AG1" s="1171"/>
      <c r="AH1" s="1171"/>
    </row>
    <row r="2" spans="1:34" s="99" customFormat="1" ht="29.25" customHeight="1" thickBot="1">
      <c r="A2" s="305"/>
      <c r="B2" s="1191" t="s">
        <v>840</v>
      </c>
      <c r="C2" s="1192"/>
      <c r="D2" s="1192"/>
      <c r="E2" s="1192"/>
      <c r="F2" s="1192"/>
      <c r="G2" s="1192"/>
      <c r="H2" s="1192"/>
      <c r="I2" s="1192"/>
      <c r="J2" s="1192"/>
      <c r="K2" s="1192"/>
      <c r="L2" s="510"/>
      <c r="M2" s="407"/>
      <c r="N2" s="409"/>
      <c r="O2" s="409"/>
      <c r="P2" s="409"/>
      <c r="Q2" s="409"/>
      <c r="R2" s="409"/>
      <c r="S2" s="409"/>
      <c r="T2" s="409"/>
      <c r="U2" s="409"/>
      <c r="V2" s="409"/>
      <c r="W2" s="411"/>
      <c r="X2" s="523"/>
      <c r="Y2" s="524"/>
      <c r="Z2" s="524"/>
      <c r="AA2" s="524"/>
      <c r="AB2" s="524"/>
      <c r="AC2" s="524"/>
      <c r="AD2" s="524"/>
      <c r="AE2" s="524"/>
      <c r="AF2" s="524"/>
      <c r="AG2" s="524"/>
      <c r="AH2" s="524"/>
    </row>
    <row r="3" spans="2:34" ht="29.25" customHeight="1"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486"/>
      <c r="M3" s="1187" t="s">
        <v>1226</v>
      </c>
      <c r="N3" s="1174" t="s">
        <v>1227</v>
      </c>
      <c r="O3" s="1175"/>
      <c r="P3" s="1175"/>
      <c r="Q3" s="1175"/>
      <c r="R3" s="1175"/>
      <c r="S3" s="1175"/>
      <c r="T3" s="1175"/>
      <c r="U3" s="1175"/>
      <c r="V3" s="1175"/>
      <c r="W3" s="1175"/>
      <c r="X3" s="1179" t="s">
        <v>1310</v>
      </c>
      <c r="Y3" s="1180"/>
      <c r="Z3" s="1175"/>
      <c r="AA3" s="1175"/>
      <c r="AB3" s="1175"/>
      <c r="AC3" s="1181"/>
      <c r="AD3" s="1172" t="s">
        <v>1228</v>
      </c>
      <c r="AE3" s="1173"/>
      <c r="AF3" s="1172" t="s">
        <v>1229</v>
      </c>
      <c r="AG3" s="1173"/>
      <c r="AH3" s="1183" t="s">
        <v>1230</v>
      </c>
    </row>
    <row r="4" spans="2:34" ht="42" customHeight="1"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486"/>
      <c r="M4" s="1188"/>
      <c r="N4" s="1176" t="s">
        <v>1231</v>
      </c>
      <c r="O4" s="1177"/>
      <c r="P4" s="1177"/>
      <c r="Q4" s="1178"/>
      <c r="R4" s="1182" t="s">
        <v>1232</v>
      </c>
      <c r="S4" s="1177"/>
      <c r="T4" s="1177"/>
      <c r="U4" s="1178"/>
      <c r="V4" s="1167" t="s">
        <v>1233</v>
      </c>
      <c r="W4" s="1168"/>
      <c r="X4" s="1168" t="s">
        <v>1233</v>
      </c>
      <c r="Y4" s="1169"/>
      <c r="Z4" s="1182" t="s">
        <v>1324</v>
      </c>
      <c r="AA4" s="1177"/>
      <c r="AB4" s="1177"/>
      <c r="AC4" s="1178"/>
      <c r="AD4" s="1061" t="s">
        <v>1234</v>
      </c>
      <c r="AE4" s="1166"/>
      <c r="AF4" s="1061" t="s">
        <v>1235</v>
      </c>
      <c r="AG4" s="1166"/>
      <c r="AH4" s="1184"/>
    </row>
    <row r="5" spans="2:36" ht="29.25" customHeight="1"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189"/>
      <c r="N5" s="306" t="s">
        <v>1236</v>
      </c>
      <c r="O5" s="303" t="s">
        <v>1237</v>
      </c>
      <c r="P5" s="304" t="s">
        <v>1238</v>
      </c>
      <c r="Q5" s="304" t="s">
        <v>1205</v>
      </c>
      <c r="R5" s="303" t="s">
        <v>1239</v>
      </c>
      <c r="S5" s="303" t="s">
        <v>1237</v>
      </c>
      <c r="T5" s="304" t="s">
        <v>1238</v>
      </c>
      <c r="U5" s="304" t="s">
        <v>1205</v>
      </c>
      <c r="V5" s="303" t="s">
        <v>1240</v>
      </c>
      <c r="W5" s="336" t="s">
        <v>1237</v>
      </c>
      <c r="X5" s="347" t="s">
        <v>1238</v>
      </c>
      <c r="Y5" s="348" t="s">
        <v>1205</v>
      </c>
      <c r="Z5" s="303" t="s">
        <v>1240</v>
      </c>
      <c r="AA5" s="303" t="s">
        <v>1237</v>
      </c>
      <c r="AB5" s="304" t="s">
        <v>1238</v>
      </c>
      <c r="AC5" s="304" t="s">
        <v>1205</v>
      </c>
      <c r="AD5" s="332" t="s">
        <v>1241</v>
      </c>
      <c r="AE5" s="332" t="s">
        <v>1242</v>
      </c>
      <c r="AF5" s="303" t="s">
        <v>1243</v>
      </c>
      <c r="AG5" s="303" t="s">
        <v>1244</v>
      </c>
      <c r="AH5" s="1158" t="s">
        <v>1245</v>
      </c>
      <c r="AJ5" s="99"/>
    </row>
    <row r="6" spans="2:36" ht="34.5" customHeight="1" thickBot="1"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1190"/>
      <c r="N6" s="333" t="s">
        <v>1246</v>
      </c>
      <c r="O6" s="334" t="s">
        <v>1247</v>
      </c>
      <c r="P6" s="335" t="s">
        <v>1248</v>
      </c>
      <c r="Q6" s="410" t="s">
        <v>1249</v>
      </c>
      <c r="R6" s="334" t="s">
        <v>1246</v>
      </c>
      <c r="S6" s="334" t="s">
        <v>1247</v>
      </c>
      <c r="T6" s="335" t="s">
        <v>1248</v>
      </c>
      <c r="U6" s="410" t="s">
        <v>1249</v>
      </c>
      <c r="V6" s="334" t="s">
        <v>1246</v>
      </c>
      <c r="W6" s="337" t="s">
        <v>1247</v>
      </c>
      <c r="X6" s="338" t="s">
        <v>1248</v>
      </c>
      <c r="Y6" s="410" t="s">
        <v>1249</v>
      </c>
      <c r="Z6" s="334" t="s">
        <v>1246</v>
      </c>
      <c r="AA6" s="334" t="s">
        <v>1247</v>
      </c>
      <c r="AB6" s="335" t="s">
        <v>1248</v>
      </c>
      <c r="AC6" s="410" t="s">
        <v>1249</v>
      </c>
      <c r="AD6" s="334" t="s">
        <v>1250</v>
      </c>
      <c r="AE6" s="334" t="s">
        <v>1251</v>
      </c>
      <c r="AF6" s="334" t="s">
        <v>1250</v>
      </c>
      <c r="AG6" s="334" t="s">
        <v>1252</v>
      </c>
      <c r="AH6" s="1159"/>
      <c r="AI6" s="51"/>
      <c r="AJ6" s="99"/>
    </row>
    <row r="7" spans="2:36" ht="20.25" customHeight="1" hidden="1">
      <c r="B7" s="82"/>
      <c r="C7" s="465"/>
      <c r="D7" s="465"/>
      <c r="E7" s="511"/>
      <c r="F7" s="512"/>
      <c r="G7" s="465"/>
      <c r="H7" s="465"/>
      <c r="I7" s="511"/>
      <c r="J7" s="511"/>
      <c r="K7" s="465"/>
      <c r="L7" s="465"/>
      <c r="M7" s="17" t="s">
        <v>1393</v>
      </c>
      <c r="N7" s="513">
        <v>3530</v>
      </c>
      <c r="O7" s="154">
        <f>N7*P7/100</f>
        <v>2240.1380000000004</v>
      </c>
      <c r="P7" s="141">
        <v>63.46</v>
      </c>
      <c r="Q7" s="141">
        <f>N7/AH7*100000</f>
        <v>759.6282340687884</v>
      </c>
      <c r="R7" s="154">
        <v>336</v>
      </c>
      <c r="S7" s="154">
        <f>R7*T7/100</f>
        <v>237.01440000000002</v>
      </c>
      <c r="T7" s="141">
        <v>70.54</v>
      </c>
      <c r="U7" s="141">
        <f>R7/AH7*100000</f>
        <v>72.304557123828</v>
      </c>
      <c r="V7" s="154">
        <v>1537</v>
      </c>
      <c r="W7" s="154">
        <f>V7*X7/100</f>
        <v>495.98990000000003</v>
      </c>
      <c r="X7" s="141">
        <v>32.27</v>
      </c>
      <c r="Y7" s="141">
        <f>V7/AH7*100000</f>
        <v>330.7503104146537</v>
      </c>
      <c r="Z7" s="154">
        <f>N7-R7-V7</f>
        <v>1657</v>
      </c>
      <c r="AA7" s="154">
        <f>O7-S7-W7</f>
        <v>1507.1337000000003</v>
      </c>
      <c r="AB7" s="141">
        <f>AA7/Z7*100</f>
        <v>90.95556427278215</v>
      </c>
      <c r="AC7" s="141">
        <f>Z7/AH7*100000</f>
        <v>356.5733665303066</v>
      </c>
      <c r="AD7" s="154">
        <v>240</v>
      </c>
      <c r="AE7" s="154">
        <v>569</v>
      </c>
      <c r="AF7" s="154">
        <v>1087</v>
      </c>
      <c r="AG7" s="154">
        <v>514817</v>
      </c>
      <c r="AH7" s="154">
        <v>464701</v>
      </c>
      <c r="AI7" s="51"/>
      <c r="AJ7" s="99"/>
    </row>
    <row r="8" spans="2:36" ht="24" customHeight="1" hidden="1">
      <c r="B8" s="82"/>
      <c r="C8" s="465"/>
      <c r="D8" s="465"/>
      <c r="E8" s="511"/>
      <c r="F8" s="512"/>
      <c r="G8" s="465"/>
      <c r="H8" s="465"/>
      <c r="I8" s="511"/>
      <c r="J8" s="511"/>
      <c r="K8" s="465"/>
      <c r="L8" s="465"/>
      <c r="M8" s="19" t="s">
        <v>1014</v>
      </c>
      <c r="N8" s="176">
        <v>4169</v>
      </c>
      <c r="O8" s="154">
        <f>N8*P8/100</f>
        <v>2784.8920000000003</v>
      </c>
      <c r="P8" s="141">
        <v>66.8</v>
      </c>
      <c r="Q8" s="141">
        <f>N8/AH8*100000</f>
        <v>896.4010647584727</v>
      </c>
      <c r="R8" s="154">
        <v>436</v>
      </c>
      <c r="S8" s="154">
        <f>R8*T8/100</f>
        <v>318.0184</v>
      </c>
      <c r="T8" s="141">
        <v>72.94</v>
      </c>
      <c r="U8" s="141">
        <f>R8/AH8*100000</f>
        <v>93.74690914720415</v>
      </c>
      <c r="V8" s="154">
        <v>1738</v>
      </c>
      <c r="W8" s="154">
        <f>V8*X8/100</f>
        <v>590.051</v>
      </c>
      <c r="X8" s="141">
        <v>33.95</v>
      </c>
      <c r="Y8" s="141">
        <f>V8/AH8*100000</f>
        <v>373.6975415088092</v>
      </c>
      <c r="Z8" s="154">
        <f>N8-R8-V8</f>
        <v>1995</v>
      </c>
      <c r="AA8" s="154">
        <f>O8-S8-W8</f>
        <v>1876.8226000000004</v>
      </c>
      <c r="AB8" s="141">
        <f>AA8/Z8*100</f>
        <v>94.07632080200503</v>
      </c>
      <c r="AC8" s="141">
        <f>Z8/AH8*100000</f>
        <v>428.95661410245935</v>
      </c>
      <c r="AD8" s="154">
        <v>259</v>
      </c>
      <c r="AE8" s="154">
        <v>601</v>
      </c>
      <c r="AF8" s="154">
        <v>1334</v>
      </c>
      <c r="AG8" s="154">
        <v>119871</v>
      </c>
      <c r="AH8" s="154">
        <v>465082</v>
      </c>
      <c r="AI8" s="158"/>
      <c r="AJ8" s="99"/>
    </row>
    <row r="9" spans="2:36" ht="24" customHeight="1" hidden="1">
      <c r="B9" s="82"/>
      <c r="C9" s="465"/>
      <c r="D9" s="465"/>
      <c r="E9" s="511"/>
      <c r="F9" s="512"/>
      <c r="G9" s="465"/>
      <c r="H9" s="465"/>
      <c r="I9" s="511"/>
      <c r="J9" s="511"/>
      <c r="K9" s="465"/>
      <c r="L9" s="465"/>
      <c r="M9" s="414"/>
      <c r="N9" s="176"/>
      <c r="O9" s="154"/>
      <c r="P9" s="141"/>
      <c r="Q9" s="141"/>
      <c r="R9" s="154"/>
      <c r="S9" s="154"/>
      <c r="T9" s="141"/>
      <c r="U9" s="141"/>
      <c r="V9" s="154"/>
      <c r="W9" s="154"/>
      <c r="X9" s="141"/>
      <c r="Y9" s="141"/>
      <c r="Z9" s="154"/>
      <c r="AA9" s="154"/>
      <c r="AB9" s="141"/>
      <c r="AC9" s="141"/>
      <c r="AD9" s="154"/>
      <c r="AE9" s="154"/>
      <c r="AF9" s="154"/>
      <c r="AG9" s="154"/>
      <c r="AH9" s="154"/>
      <c r="AI9" s="97"/>
      <c r="AJ9" s="99"/>
    </row>
    <row r="10" spans="2:36" ht="24" customHeight="1" hidden="1">
      <c r="B10" s="82"/>
      <c r="C10" s="465"/>
      <c r="D10" s="465"/>
      <c r="E10" s="511"/>
      <c r="F10" s="512"/>
      <c r="G10" s="465"/>
      <c r="H10" s="465"/>
      <c r="I10" s="511"/>
      <c r="J10" s="511"/>
      <c r="K10" s="465"/>
      <c r="L10" s="465"/>
      <c r="M10" s="19" t="s">
        <v>1396</v>
      </c>
      <c r="N10" s="176">
        <v>4164</v>
      </c>
      <c r="O10" s="154">
        <f>N10*P10/100</f>
        <v>2966.0172000000002</v>
      </c>
      <c r="P10" s="141">
        <v>71.23</v>
      </c>
      <c r="Q10" s="141">
        <f>N10/AH10*100000</f>
        <v>893.82692728748</v>
      </c>
      <c r="R10" s="154">
        <v>409</v>
      </c>
      <c r="S10" s="154">
        <f>R10*T10/100</f>
        <v>300.00149999999996</v>
      </c>
      <c r="T10" s="141">
        <v>73.35</v>
      </c>
      <c r="U10" s="141">
        <f>R10/AH10*100000</f>
        <v>87.79423949581636</v>
      </c>
      <c r="V10" s="154">
        <v>1651</v>
      </c>
      <c r="W10" s="154">
        <f>V10*X10/100</f>
        <v>608.0632999999999</v>
      </c>
      <c r="X10" s="141">
        <v>36.83</v>
      </c>
      <c r="Y10" s="141">
        <f>V10/AH10*100000</f>
        <v>354.3967956175863</v>
      </c>
      <c r="Z10" s="154">
        <f aca="true" t="shared" si="0" ref="Z10:AA14">N10-R10-V10</f>
        <v>2104</v>
      </c>
      <c r="AA10" s="154">
        <f t="shared" si="0"/>
        <v>2057.9524000000006</v>
      </c>
      <c r="AB10" s="141">
        <f>AA10/Z10*100</f>
        <v>97.81142585551333</v>
      </c>
      <c r="AC10" s="141">
        <f>Z10/AH10*100000</f>
        <v>451.6358921740773</v>
      </c>
      <c r="AD10" s="154">
        <v>193</v>
      </c>
      <c r="AE10" s="154">
        <v>482</v>
      </c>
      <c r="AF10" s="154">
        <v>940</v>
      </c>
      <c r="AG10" s="154">
        <v>61745</v>
      </c>
      <c r="AH10" s="154">
        <v>465862</v>
      </c>
      <c r="AI10" s="51"/>
      <c r="AJ10" s="99"/>
    </row>
    <row r="11" spans="2:36" ht="24" customHeight="1" hidden="1">
      <c r="B11" s="82"/>
      <c r="C11" s="465"/>
      <c r="D11" s="465"/>
      <c r="E11" s="511"/>
      <c r="F11" s="512"/>
      <c r="G11" s="465"/>
      <c r="H11" s="465"/>
      <c r="I11" s="511"/>
      <c r="J11" s="511"/>
      <c r="K11" s="465"/>
      <c r="L11" s="465"/>
      <c r="M11" s="17" t="s">
        <v>1397</v>
      </c>
      <c r="N11" s="176">
        <v>3648</v>
      </c>
      <c r="O11" s="154">
        <f>N11*P11/100</f>
        <v>2324.1408</v>
      </c>
      <c r="P11" s="141">
        <v>63.71</v>
      </c>
      <c r="Q11" s="141">
        <f>N11/AH11*100000</f>
        <v>782.6394773821911</v>
      </c>
      <c r="R11" s="154">
        <v>370</v>
      </c>
      <c r="S11" s="154">
        <f>R11*T11/100</f>
        <v>268.99</v>
      </c>
      <c r="T11" s="141">
        <v>72.7</v>
      </c>
      <c r="U11" s="141">
        <f>R11/AH11*100000</f>
        <v>79.3795522564174</v>
      </c>
      <c r="V11" s="154">
        <v>1571</v>
      </c>
      <c r="W11" s="154">
        <f>V11*X11/100</f>
        <v>533.0403</v>
      </c>
      <c r="X11" s="141">
        <v>33.93</v>
      </c>
      <c r="Y11" s="141">
        <f>V11/AH11*100000</f>
        <v>337.0412880941399</v>
      </c>
      <c r="Z11" s="154">
        <f t="shared" si="0"/>
        <v>1707</v>
      </c>
      <c r="AA11" s="154">
        <f t="shared" si="0"/>
        <v>1522.1105000000002</v>
      </c>
      <c r="AB11" s="141">
        <f>AA11/Z11*100</f>
        <v>89.16874633860576</v>
      </c>
      <c r="AC11" s="141">
        <f>Z11/AH11*100000</f>
        <v>366.2186370316338</v>
      </c>
      <c r="AD11" s="154">
        <v>153</v>
      </c>
      <c r="AE11" s="154">
        <v>287</v>
      </c>
      <c r="AF11" s="154">
        <v>1029</v>
      </c>
      <c r="AG11" s="154">
        <v>45679</v>
      </c>
      <c r="AH11" s="154">
        <v>466115</v>
      </c>
      <c r="AI11" s="51"/>
      <c r="AJ11" s="99"/>
    </row>
    <row r="12" spans="2:36" ht="24" customHeight="1" hidden="1">
      <c r="B12" s="82"/>
      <c r="C12" s="465"/>
      <c r="D12" s="465"/>
      <c r="E12" s="511"/>
      <c r="F12" s="512"/>
      <c r="G12" s="465"/>
      <c r="H12" s="465"/>
      <c r="I12" s="511"/>
      <c r="J12" s="511"/>
      <c r="K12" s="465"/>
      <c r="L12" s="465"/>
      <c r="M12" s="320" t="s">
        <v>1080</v>
      </c>
      <c r="N12" s="342">
        <v>5848</v>
      </c>
      <c r="O12" s="343">
        <f>N12*P12/100</f>
        <v>4090.0912</v>
      </c>
      <c r="P12" s="344">
        <v>69.94</v>
      </c>
      <c r="Q12" s="344">
        <f>N12/AH12*100000</f>
        <v>1256.7803385226384</v>
      </c>
      <c r="R12" s="343">
        <v>287</v>
      </c>
      <c r="S12" s="343">
        <f>R12*T12/100</f>
        <v>245.98769999999996</v>
      </c>
      <c r="T12" s="344">
        <v>85.71</v>
      </c>
      <c r="U12" s="344">
        <f>R12/AH12*100000</f>
        <v>61.67851524555356</v>
      </c>
      <c r="V12" s="343">
        <v>3563</v>
      </c>
      <c r="W12" s="343">
        <f>V12*X12/100</f>
        <v>1953.9492</v>
      </c>
      <c r="X12" s="344">
        <v>54.84</v>
      </c>
      <c r="Y12" s="344">
        <f>V12/AH12*100000</f>
        <v>765.7162014630917</v>
      </c>
      <c r="Z12" s="343">
        <f t="shared" si="0"/>
        <v>1998</v>
      </c>
      <c r="AA12" s="343">
        <f t="shared" si="0"/>
        <v>1890.1542999999997</v>
      </c>
      <c r="AB12" s="344">
        <f>AA12/Z12*100</f>
        <v>94.6023173173173</v>
      </c>
      <c r="AC12" s="344">
        <f>Z12/AH12*100000</f>
        <v>429.3856218139931</v>
      </c>
      <c r="AD12" s="343">
        <v>112</v>
      </c>
      <c r="AE12" s="343">
        <v>182</v>
      </c>
      <c r="AF12" s="343">
        <v>258</v>
      </c>
      <c r="AG12" s="343">
        <v>79314</v>
      </c>
      <c r="AH12" s="343">
        <v>465316</v>
      </c>
      <c r="AI12" s="51"/>
      <c r="AJ12" s="99"/>
    </row>
    <row r="13" spans="2:34" ht="27.75" customHeight="1">
      <c r="B13" s="82"/>
      <c r="C13" s="465"/>
      <c r="D13" s="465"/>
      <c r="E13" s="511"/>
      <c r="F13" s="512"/>
      <c r="G13" s="465"/>
      <c r="H13" s="465"/>
      <c r="I13" s="511"/>
      <c r="J13" s="511"/>
      <c r="K13" s="465"/>
      <c r="L13" s="465"/>
      <c r="M13" s="320" t="s">
        <v>1253</v>
      </c>
      <c r="N13" s="342">
        <v>6903</v>
      </c>
      <c r="O13" s="343">
        <f>N13*P13/100</f>
        <v>4437.2484</v>
      </c>
      <c r="P13" s="344">
        <v>64.28</v>
      </c>
      <c r="Q13" s="344">
        <f>N13/AH13*100000</f>
        <v>1484.2129027403005</v>
      </c>
      <c r="R13" s="343">
        <v>188</v>
      </c>
      <c r="S13" s="343">
        <f>R13*T13/100</f>
        <v>153.9908</v>
      </c>
      <c r="T13" s="344">
        <v>81.91</v>
      </c>
      <c r="U13" s="344">
        <f>R13/AH13*100000</f>
        <v>40.42184929960546</v>
      </c>
      <c r="V13" s="343">
        <v>4114</v>
      </c>
      <c r="W13" s="343">
        <f>V13*X13/100</f>
        <v>1912.1872</v>
      </c>
      <c r="X13" s="344">
        <v>46.48</v>
      </c>
      <c r="Y13" s="344">
        <f>V13/AH13*100000</f>
        <v>884.5504681839193</v>
      </c>
      <c r="Z13" s="343">
        <f t="shared" si="0"/>
        <v>2601</v>
      </c>
      <c r="AA13" s="343">
        <f t="shared" si="0"/>
        <v>2371.0704000000005</v>
      </c>
      <c r="AB13" s="344">
        <f>AA13/Z13*100</f>
        <v>91.15995386389852</v>
      </c>
      <c r="AC13" s="344">
        <f>Z13/AH13*100000</f>
        <v>559.2405852567755</v>
      </c>
      <c r="AD13" s="343">
        <v>195</v>
      </c>
      <c r="AE13" s="343">
        <v>257</v>
      </c>
      <c r="AF13" s="343">
        <v>169</v>
      </c>
      <c r="AG13" s="343">
        <v>38304</v>
      </c>
      <c r="AH13" s="343">
        <v>465095</v>
      </c>
    </row>
    <row r="14" spans="2:34" ht="27.75" customHeight="1">
      <c r="B14" s="82"/>
      <c r="C14" s="465"/>
      <c r="D14" s="465"/>
      <c r="E14" s="511"/>
      <c r="F14" s="512"/>
      <c r="G14" s="465"/>
      <c r="H14" s="465"/>
      <c r="I14" s="511"/>
      <c r="J14" s="511"/>
      <c r="K14" s="465"/>
      <c r="L14" s="465"/>
      <c r="M14" s="320" t="s">
        <v>1254</v>
      </c>
      <c r="N14" s="342">
        <v>7639</v>
      </c>
      <c r="O14" s="343">
        <f>N14*P14/100</f>
        <v>4859.9318</v>
      </c>
      <c r="P14" s="344">
        <v>63.62</v>
      </c>
      <c r="Q14" s="344">
        <f>N14/AH14*100000</f>
        <v>1641.0558268330565</v>
      </c>
      <c r="R14" s="343">
        <v>185</v>
      </c>
      <c r="S14" s="343">
        <f>R14*T14/100</f>
        <v>144.00400000000002</v>
      </c>
      <c r="T14" s="344">
        <v>77.84</v>
      </c>
      <c r="U14" s="344">
        <f>R14/AH14*100000</f>
        <v>39.74281031078878</v>
      </c>
      <c r="V14" s="343">
        <v>4609</v>
      </c>
      <c r="W14" s="343">
        <f>V14*X14/100</f>
        <v>2550.1597</v>
      </c>
      <c r="X14" s="344">
        <v>55.33</v>
      </c>
      <c r="Y14" s="344">
        <f>V14/AH14*100000</f>
        <v>990.1330417428404</v>
      </c>
      <c r="Z14" s="343">
        <f t="shared" si="0"/>
        <v>2845</v>
      </c>
      <c r="AA14" s="343">
        <f t="shared" si="0"/>
        <v>2165.7681000000002</v>
      </c>
      <c r="AB14" s="344">
        <f>AA14/Z14*100</f>
        <v>76.1254165202109</v>
      </c>
      <c r="AC14" s="344">
        <f>Z14/AH14*100000</f>
        <v>611.1799747794274</v>
      </c>
      <c r="AD14" s="343">
        <v>88</v>
      </c>
      <c r="AE14" s="343">
        <v>166</v>
      </c>
      <c r="AF14" s="343">
        <v>536</v>
      </c>
      <c r="AG14" s="343">
        <v>38670</v>
      </c>
      <c r="AH14" s="343">
        <v>465493</v>
      </c>
    </row>
    <row r="15" spans="2:34" ht="24" customHeight="1" hidden="1">
      <c r="B15" s="82"/>
      <c r="C15" s="465"/>
      <c r="D15" s="465"/>
      <c r="E15" s="511"/>
      <c r="F15" s="512"/>
      <c r="G15" s="465"/>
      <c r="H15" s="465"/>
      <c r="I15" s="511"/>
      <c r="J15" s="511"/>
      <c r="K15" s="465"/>
      <c r="L15" s="465"/>
      <c r="M15" s="514"/>
      <c r="N15" s="342"/>
      <c r="O15" s="343"/>
      <c r="P15" s="344"/>
      <c r="Q15" s="344"/>
      <c r="R15" s="343"/>
      <c r="S15" s="343"/>
      <c r="T15" s="344"/>
      <c r="U15" s="344"/>
      <c r="V15" s="343"/>
      <c r="W15" s="343"/>
      <c r="X15" s="344"/>
      <c r="Y15" s="344"/>
      <c r="Z15" s="343"/>
      <c r="AA15" s="343"/>
      <c r="AB15" s="344"/>
      <c r="AC15" s="344"/>
      <c r="AD15" s="343"/>
      <c r="AE15" s="343"/>
      <c r="AF15" s="343"/>
      <c r="AG15" s="343"/>
      <c r="AH15" s="343"/>
    </row>
    <row r="16" spans="2:34" ht="27.75" customHeight="1">
      <c r="B16" s="82"/>
      <c r="C16" s="465"/>
      <c r="D16" s="465"/>
      <c r="E16" s="511"/>
      <c r="F16" s="512"/>
      <c r="G16" s="465"/>
      <c r="H16" s="465"/>
      <c r="I16" s="511"/>
      <c r="J16" s="511"/>
      <c r="K16" s="465"/>
      <c r="L16" s="465"/>
      <c r="M16" s="320" t="s">
        <v>1255</v>
      </c>
      <c r="N16" s="342">
        <v>7349</v>
      </c>
      <c r="O16" s="343">
        <f>N16*P16/100</f>
        <v>5192.8034</v>
      </c>
      <c r="P16" s="344">
        <v>70.66</v>
      </c>
      <c r="Q16" s="344">
        <v>1580.59</v>
      </c>
      <c r="R16" s="343">
        <v>257</v>
      </c>
      <c r="S16" s="343">
        <f>R16*T16/100</f>
        <v>211.9993</v>
      </c>
      <c r="T16" s="344">
        <v>82.49</v>
      </c>
      <c r="U16" s="344">
        <f>R16/AH16*100000</f>
        <v>55.27440407955212</v>
      </c>
      <c r="V16" s="343">
        <v>4296</v>
      </c>
      <c r="W16" s="343">
        <v>2739</v>
      </c>
      <c r="X16" s="344">
        <v>63.76</v>
      </c>
      <c r="Y16" s="344">
        <f>V16/AH16*100000</f>
        <v>923.9643576877662</v>
      </c>
      <c r="Z16" s="343">
        <f>N16-R16-V16</f>
        <v>2796</v>
      </c>
      <c r="AA16" s="343">
        <f>O16-S16-W16</f>
        <v>2241.8040999999994</v>
      </c>
      <c r="AB16" s="344">
        <v>80.19</v>
      </c>
      <c r="AC16" s="344">
        <f>Z16/AH16*100000</f>
        <v>601.3511043051662</v>
      </c>
      <c r="AD16" s="343">
        <v>195</v>
      </c>
      <c r="AE16" s="343">
        <v>216</v>
      </c>
      <c r="AF16" s="343">
        <v>268</v>
      </c>
      <c r="AG16" s="343">
        <v>42977</v>
      </c>
      <c r="AH16" s="343">
        <v>464953</v>
      </c>
    </row>
    <row r="17" spans="2:34" ht="27.75" customHeight="1">
      <c r="B17" s="82"/>
      <c r="C17" s="465"/>
      <c r="D17" s="465"/>
      <c r="E17" s="511"/>
      <c r="F17" s="512"/>
      <c r="G17" s="465"/>
      <c r="H17" s="465"/>
      <c r="I17" s="511"/>
      <c r="J17" s="511"/>
      <c r="K17" s="465"/>
      <c r="L17" s="465"/>
      <c r="M17" s="320" t="s">
        <v>1256</v>
      </c>
      <c r="N17" s="342">
        <v>7264</v>
      </c>
      <c r="O17" s="343">
        <v>5185</v>
      </c>
      <c r="P17" s="344">
        <v>71.38</v>
      </c>
      <c r="Q17" s="344">
        <v>1566.54</v>
      </c>
      <c r="R17" s="343">
        <v>212</v>
      </c>
      <c r="S17" s="343">
        <v>186</v>
      </c>
      <c r="T17" s="344">
        <v>87.74</v>
      </c>
      <c r="U17" s="344">
        <v>45.72</v>
      </c>
      <c r="V17" s="343">
        <v>4134</v>
      </c>
      <c r="W17" s="343">
        <v>2731</v>
      </c>
      <c r="X17" s="344">
        <v>66.06</v>
      </c>
      <c r="Y17" s="344">
        <v>891.53</v>
      </c>
      <c r="Z17" s="343">
        <v>2918</v>
      </c>
      <c r="AA17" s="343">
        <v>2268</v>
      </c>
      <c r="AB17" s="344">
        <v>77.72</v>
      </c>
      <c r="AC17" s="344">
        <v>629.29</v>
      </c>
      <c r="AD17" s="343">
        <f>AD18+AD19+AD20+AD21</f>
        <v>178</v>
      </c>
      <c r="AE17" s="343">
        <f>AE18+AE19+AE20+AE21</f>
        <v>220</v>
      </c>
      <c r="AF17" s="343">
        <v>123</v>
      </c>
      <c r="AG17" s="343">
        <v>49474</v>
      </c>
      <c r="AH17" s="343">
        <v>463696</v>
      </c>
    </row>
    <row r="18" spans="2:34" ht="24" customHeight="1" hidden="1">
      <c r="B18" s="82"/>
      <c r="C18" s="465"/>
      <c r="D18" s="465"/>
      <c r="E18" s="511"/>
      <c r="F18" s="512"/>
      <c r="G18" s="465"/>
      <c r="H18" s="465"/>
      <c r="I18" s="511"/>
      <c r="J18" s="511"/>
      <c r="K18" s="465"/>
      <c r="L18" s="465"/>
      <c r="M18" s="318" t="s">
        <v>1257</v>
      </c>
      <c r="N18" s="342">
        <v>1676</v>
      </c>
      <c r="O18" s="343">
        <f>N18*P18/100</f>
        <v>1315.9951999999998</v>
      </c>
      <c r="P18" s="344">
        <v>78.52</v>
      </c>
      <c r="Q18" s="344">
        <f aca="true" t="shared" si="1" ref="Q18:Q36">N18/AH18*100000</f>
        <v>361.18276580659483</v>
      </c>
      <c r="R18" s="343">
        <v>51</v>
      </c>
      <c r="S18" s="343">
        <f>R18*T18/100</f>
        <v>50.0004</v>
      </c>
      <c r="T18" s="344">
        <v>98.04</v>
      </c>
      <c r="U18" s="344">
        <f>R18/AH18*100000</f>
        <v>10.99064502156106</v>
      </c>
      <c r="V18" s="343">
        <v>986</v>
      </c>
      <c r="W18" s="343">
        <f>V18*X18/100</f>
        <v>745.0216</v>
      </c>
      <c r="X18" s="344">
        <v>75.56</v>
      </c>
      <c r="Y18" s="344">
        <f aca="true" t="shared" si="2" ref="Y18:Y36">V18/AH18*100000</f>
        <v>212.48580375018048</v>
      </c>
      <c r="Z18" s="343">
        <f>N18-R18-V18</f>
        <v>639</v>
      </c>
      <c r="AA18" s="343">
        <f>O18-S18-W18</f>
        <v>520.9731999999999</v>
      </c>
      <c r="AB18" s="344">
        <f>AA18/Z18*100</f>
        <v>81.52945226917056</v>
      </c>
      <c r="AC18" s="344">
        <f aca="true" t="shared" si="3" ref="AC18:AC36">Z18/AH18*100000</f>
        <v>137.70631703485327</v>
      </c>
      <c r="AD18" s="343">
        <v>72</v>
      </c>
      <c r="AE18" s="343">
        <v>103</v>
      </c>
      <c r="AF18" s="343">
        <v>28</v>
      </c>
      <c r="AG18" s="299">
        <v>2248</v>
      </c>
      <c r="AH18" s="343">
        <v>464031</v>
      </c>
    </row>
    <row r="19" spans="2:34" ht="24" customHeight="1" hidden="1">
      <c r="B19" s="82"/>
      <c r="C19" s="465"/>
      <c r="D19" s="465"/>
      <c r="E19" s="511"/>
      <c r="F19" s="512"/>
      <c r="G19" s="465"/>
      <c r="H19" s="465"/>
      <c r="I19" s="511"/>
      <c r="J19" s="511"/>
      <c r="K19" s="465"/>
      <c r="L19" s="465"/>
      <c r="M19" s="318" t="s">
        <v>1258</v>
      </c>
      <c r="N19" s="342">
        <v>1775</v>
      </c>
      <c r="O19" s="343">
        <v>1386</v>
      </c>
      <c r="P19" s="344">
        <v>78.08</v>
      </c>
      <c r="Q19" s="344">
        <f t="shared" si="1"/>
        <v>382.72456768295314</v>
      </c>
      <c r="R19" s="343">
        <v>67</v>
      </c>
      <c r="S19" s="343">
        <f>R19*T19/100</f>
        <v>58.0019</v>
      </c>
      <c r="T19" s="344">
        <v>86.57</v>
      </c>
      <c r="U19" s="344">
        <f>R19/AH19*100000</f>
        <v>14.446504808314286</v>
      </c>
      <c r="V19" s="343">
        <v>1046</v>
      </c>
      <c r="W19" s="343">
        <f>V19*X19/100</f>
        <v>805.0015999999999</v>
      </c>
      <c r="X19" s="344">
        <v>76.96</v>
      </c>
      <c r="Y19" s="344">
        <f t="shared" si="2"/>
        <v>225.53797058950366</v>
      </c>
      <c r="Z19" s="343">
        <v>662</v>
      </c>
      <c r="AA19" s="343">
        <f>O19-S19-W19</f>
        <v>522.9965000000001</v>
      </c>
      <c r="AB19" s="344">
        <v>79</v>
      </c>
      <c r="AC19" s="344">
        <f t="shared" si="3"/>
        <v>142.74009228513518</v>
      </c>
      <c r="AD19" s="343">
        <v>53</v>
      </c>
      <c r="AE19" s="343">
        <v>52</v>
      </c>
      <c r="AF19" s="343">
        <v>37</v>
      </c>
      <c r="AG19" s="343">
        <v>17989</v>
      </c>
      <c r="AH19" s="343">
        <v>463780</v>
      </c>
    </row>
    <row r="20" spans="2:34" ht="24" customHeight="1" hidden="1">
      <c r="B20" s="82"/>
      <c r="C20" s="465"/>
      <c r="D20" s="465"/>
      <c r="E20" s="511"/>
      <c r="F20" s="512"/>
      <c r="G20" s="465"/>
      <c r="H20" s="465"/>
      <c r="I20" s="511"/>
      <c r="J20" s="511"/>
      <c r="K20" s="465"/>
      <c r="L20" s="465"/>
      <c r="M20" s="318" t="s">
        <v>1261</v>
      </c>
      <c r="N20" s="342">
        <v>1932</v>
      </c>
      <c r="O20" s="343">
        <v>1225</v>
      </c>
      <c r="P20" s="344">
        <v>63.41</v>
      </c>
      <c r="Q20" s="344">
        <f t="shared" si="1"/>
        <v>416.6343192816293</v>
      </c>
      <c r="R20" s="343">
        <v>47</v>
      </c>
      <c r="S20" s="343">
        <v>38</v>
      </c>
      <c r="T20" s="344">
        <v>80.85</v>
      </c>
      <c r="U20" s="344">
        <f>R20/AH20*100000</f>
        <v>10.13551397838332</v>
      </c>
      <c r="V20" s="343">
        <v>1079</v>
      </c>
      <c r="W20" s="343">
        <v>555</v>
      </c>
      <c r="X20" s="344">
        <v>51.44</v>
      </c>
      <c r="Y20" s="344">
        <f t="shared" si="2"/>
        <v>232.68552303565113</v>
      </c>
      <c r="Z20" s="343">
        <v>806</v>
      </c>
      <c r="AA20" s="343">
        <v>632</v>
      </c>
      <c r="AB20" s="344">
        <v>78.41</v>
      </c>
      <c r="AC20" s="344">
        <f t="shared" si="3"/>
        <v>173.81328226759481</v>
      </c>
      <c r="AD20" s="343">
        <v>17</v>
      </c>
      <c r="AE20" s="343">
        <v>19</v>
      </c>
      <c r="AF20" s="343">
        <v>35</v>
      </c>
      <c r="AG20" s="343">
        <v>14409</v>
      </c>
      <c r="AH20" s="343">
        <v>463716</v>
      </c>
    </row>
    <row r="21" spans="2:34" ht="24" customHeight="1" hidden="1">
      <c r="B21" s="82"/>
      <c r="C21" s="465"/>
      <c r="D21" s="465"/>
      <c r="E21" s="511"/>
      <c r="F21" s="512"/>
      <c r="G21" s="465"/>
      <c r="H21" s="465"/>
      <c r="I21" s="511"/>
      <c r="J21" s="511"/>
      <c r="K21" s="465"/>
      <c r="L21" s="465"/>
      <c r="M21" s="318" t="s">
        <v>1262</v>
      </c>
      <c r="N21" s="342">
        <v>1896</v>
      </c>
      <c r="O21" s="343">
        <v>1268</v>
      </c>
      <c r="P21" s="344">
        <v>66.88</v>
      </c>
      <c r="Q21" s="344">
        <f t="shared" si="1"/>
        <v>409.2336581733415</v>
      </c>
      <c r="R21" s="343">
        <v>46</v>
      </c>
      <c r="S21" s="343">
        <v>40</v>
      </c>
      <c r="T21" s="344">
        <v>86.96</v>
      </c>
      <c r="U21" s="344">
        <f aca="true" t="shared" si="4" ref="U21:U36">R21/AH21*100000</f>
        <v>9.92866470251778</v>
      </c>
      <c r="V21" s="343">
        <v>1031</v>
      </c>
      <c r="W21" s="343">
        <v>628</v>
      </c>
      <c r="X21" s="344">
        <v>60.91</v>
      </c>
      <c r="Y21" s="344">
        <f t="shared" si="2"/>
        <v>222.53159365860503</v>
      </c>
      <c r="Z21" s="343">
        <v>819</v>
      </c>
      <c r="AA21" s="343">
        <v>600</v>
      </c>
      <c r="AB21" s="344">
        <v>73.26</v>
      </c>
      <c r="AC21" s="344">
        <f t="shared" si="3"/>
        <v>176.77339981221874</v>
      </c>
      <c r="AD21" s="343">
        <v>36</v>
      </c>
      <c r="AE21" s="343">
        <v>46</v>
      </c>
      <c r="AF21" s="343">
        <v>26</v>
      </c>
      <c r="AG21" s="343">
        <v>9568</v>
      </c>
      <c r="AH21" s="343">
        <v>463305</v>
      </c>
    </row>
    <row r="22" spans="2:34" ht="27.75" customHeight="1">
      <c r="B22" s="82"/>
      <c r="C22" s="465"/>
      <c r="D22" s="465"/>
      <c r="E22" s="511"/>
      <c r="F22" s="512"/>
      <c r="G22" s="465"/>
      <c r="H22" s="465"/>
      <c r="I22" s="511"/>
      <c r="J22" s="511"/>
      <c r="K22" s="465"/>
      <c r="L22" s="465"/>
      <c r="M22" s="320" t="s">
        <v>1024</v>
      </c>
      <c r="N22" s="342">
        <v>7317</v>
      </c>
      <c r="O22" s="343">
        <v>5027</v>
      </c>
      <c r="P22" s="344">
        <v>68.7</v>
      </c>
      <c r="Q22" s="344">
        <v>1581.08</v>
      </c>
      <c r="R22" s="343">
        <v>136</v>
      </c>
      <c r="S22" s="343">
        <v>134</v>
      </c>
      <c r="T22" s="344">
        <v>98.53</v>
      </c>
      <c r="U22" s="344">
        <f t="shared" si="4"/>
        <v>29.38723297593272</v>
      </c>
      <c r="V22" s="343">
        <v>3791</v>
      </c>
      <c r="W22" s="343">
        <v>2164</v>
      </c>
      <c r="X22" s="344">
        <v>57.08</v>
      </c>
      <c r="Y22" s="344">
        <f t="shared" si="2"/>
        <v>819.1691192041246</v>
      </c>
      <c r="Z22" s="343">
        <v>3390</v>
      </c>
      <c r="AA22" s="343">
        <v>2729</v>
      </c>
      <c r="AB22" s="344">
        <f aca="true" t="shared" si="5" ref="AB22:AB36">AA22/Z22*100</f>
        <v>80.50147492625369</v>
      </c>
      <c r="AC22" s="344">
        <v>732.52</v>
      </c>
      <c r="AD22" s="343">
        <v>176</v>
      </c>
      <c r="AE22" s="343">
        <v>221</v>
      </c>
      <c r="AF22" s="343">
        <v>103</v>
      </c>
      <c r="AG22" s="343">
        <v>44019</v>
      </c>
      <c r="AH22" s="343">
        <v>462786</v>
      </c>
    </row>
    <row r="23" spans="2:34" ht="21" customHeight="1" hidden="1">
      <c r="B23" s="82"/>
      <c r="C23" s="465"/>
      <c r="D23" s="465"/>
      <c r="E23" s="511"/>
      <c r="F23" s="512"/>
      <c r="G23" s="465"/>
      <c r="H23" s="465"/>
      <c r="I23" s="511"/>
      <c r="J23" s="511"/>
      <c r="K23" s="465"/>
      <c r="L23" s="465"/>
      <c r="M23" s="318" t="s">
        <v>1263</v>
      </c>
      <c r="N23" s="342">
        <v>1693</v>
      </c>
      <c r="O23" s="343">
        <v>1230</v>
      </c>
      <c r="P23" s="344">
        <f aca="true" t="shared" si="6" ref="P23:P36">O23/N23*100</f>
        <v>72.6520968694625</v>
      </c>
      <c r="Q23" s="344">
        <f t="shared" si="1"/>
        <v>365.6413734120625</v>
      </c>
      <c r="R23" s="343">
        <v>33</v>
      </c>
      <c r="S23" s="343">
        <v>31</v>
      </c>
      <c r="T23" s="344">
        <f aca="true" t="shared" si="7" ref="T23:T36">S23/R23*100</f>
        <v>93.93939393939394</v>
      </c>
      <c r="U23" s="344">
        <f t="shared" si="4"/>
        <v>7.127091153336127</v>
      </c>
      <c r="V23" s="343">
        <v>872</v>
      </c>
      <c r="W23" s="343">
        <v>529</v>
      </c>
      <c r="X23" s="344">
        <f aca="true" t="shared" si="8" ref="X23:X36">W23/V23*100</f>
        <v>60.6651376146789</v>
      </c>
      <c r="Y23" s="344">
        <f t="shared" si="2"/>
        <v>188.32798441542735</v>
      </c>
      <c r="Z23" s="343">
        <f aca="true" t="shared" si="9" ref="Z23:Z36">N23-R23-V23</f>
        <v>788</v>
      </c>
      <c r="AA23" s="343">
        <f aca="true" t="shared" si="10" ref="AA23:AA36">O23-S23-W23</f>
        <v>670</v>
      </c>
      <c r="AB23" s="344">
        <f t="shared" si="5"/>
        <v>85.0253807106599</v>
      </c>
      <c r="AC23" s="344">
        <f t="shared" si="3"/>
        <v>170.18629784329903</v>
      </c>
      <c r="AD23" s="343">
        <v>43</v>
      </c>
      <c r="AE23" s="343">
        <v>52</v>
      </c>
      <c r="AF23" s="343">
        <v>28</v>
      </c>
      <c r="AG23" s="343">
        <v>15146</v>
      </c>
      <c r="AH23" s="343">
        <v>463022</v>
      </c>
    </row>
    <row r="24" spans="2:34" ht="24" customHeight="1" hidden="1">
      <c r="B24" s="82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318" t="s">
        <v>1026</v>
      </c>
      <c r="N24" s="342">
        <v>1737</v>
      </c>
      <c r="O24" s="343">
        <v>1196</v>
      </c>
      <c r="P24" s="344">
        <f t="shared" si="6"/>
        <v>68.85434657455383</v>
      </c>
      <c r="Q24" s="344">
        <f t="shared" si="1"/>
        <v>375.5383364754311</v>
      </c>
      <c r="R24" s="343">
        <v>33</v>
      </c>
      <c r="S24" s="343">
        <v>28</v>
      </c>
      <c r="T24" s="344">
        <f t="shared" si="7"/>
        <v>84.84848484848484</v>
      </c>
      <c r="U24" s="344">
        <f t="shared" si="4"/>
        <v>7.134579794870021</v>
      </c>
      <c r="V24" s="343">
        <v>912</v>
      </c>
      <c r="W24" s="343">
        <v>542</v>
      </c>
      <c r="X24" s="344">
        <f t="shared" si="8"/>
        <v>59.42982456140351</v>
      </c>
      <c r="Y24" s="344">
        <f t="shared" si="2"/>
        <v>197.1738416036806</v>
      </c>
      <c r="Z24" s="343">
        <f t="shared" si="9"/>
        <v>792</v>
      </c>
      <c r="AA24" s="343">
        <f t="shared" si="10"/>
        <v>626</v>
      </c>
      <c r="AB24" s="344">
        <f t="shared" si="5"/>
        <v>79.04040404040404</v>
      </c>
      <c r="AC24" s="344">
        <f t="shared" si="3"/>
        <v>171.2299150768805</v>
      </c>
      <c r="AD24" s="343">
        <v>40</v>
      </c>
      <c r="AE24" s="343">
        <v>51</v>
      </c>
      <c r="AF24" s="343">
        <v>20</v>
      </c>
      <c r="AG24" s="343">
        <v>7212</v>
      </c>
      <c r="AH24" s="343">
        <v>462536</v>
      </c>
    </row>
    <row r="25" spans="2:34" ht="24" customHeight="1" hidden="1">
      <c r="B25" s="82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318" t="s">
        <v>1027</v>
      </c>
      <c r="N25" s="342">
        <v>1928</v>
      </c>
      <c r="O25" s="343">
        <v>1300</v>
      </c>
      <c r="P25" s="344">
        <f t="shared" si="6"/>
        <v>67.42738589211619</v>
      </c>
      <c r="Q25" s="344">
        <f t="shared" si="1"/>
        <v>417.0695671172662</v>
      </c>
      <c r="R25" s="343">
        <v>34</v>
      </c>
      <c r="S25" s="343">
        <v>34</v>
      </c>
      <c r="T25" s="344">
        <f t="shared" si="7"/>
        <v>100</v>
      </c>
      <c r="U25" s="344">
        <f t="shared" si="4"/>
        <v>7.354961245843906</v>
      </c>
      <c r="V25" s="343">
        <v>976</v>
      </c>
      <c r="W25" s="343">
        <v>524</v>
      </c>
      <c r="X25" s="344">
        <f t="shared" si="8"/>
        <v>53.68852459016394</v>
      </c>
      <c r="Y25" s="344">
        <f t="shared" si="2"/>
        <v>211.13065223363685</v>
      </c>
      <c r="Z25" s="343">
        <f t="shared" si="9"/>
        <v>918</v>
      </c>
      <c r="AA25" s="343">
        <f t="shared" si="10"/>
        <v>742</v>
      </c>
      <c r="AB25" s="344">
        <f t="shared" si="5"/>
        <v>80.82788671023965</v>
      </c>
      <c r="AC25" s="344">
        <f t="shared" si="3"/>
        <v>198.58395363778544</v>
      </c>
      <c r="AD25" s="343">
        <v>54</v>
      </c>
      <c r="AE25" s="343">
        <v>66</v>
      </c>
      <c r="AF25" s="343">
        <v>24</v>
      </c>
      <c r="AG25" s="343">
        <v>11816</v>
      </c>
      <c r="AH25" s="343">
        <v>462273</v>
      </c>
    </row>
    <row r="26" spans="2:34" ht="24" customHeight="1" hidden="1">
      <c r="B26" s="82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318" t="s">
        <v>1028</v>
      </c>
      <c r="N26" s="342">
        <v>1974</v>
      </c>
      <c r="O26" s="343">
        <v>1310</v>
      </c>
      <c r="P26" s="344">
        <f t="shared" si="6"/>
        <v>66.3627152988855</v>
      </c>
      <c r="Q26" s="344">
        <f t="shared" si="1"/>
        <v>427.0333297999606</v>
      </c>
      <c r="R26" s="343">
        <v>36</v>
      </c>
      <c r="S26" s="343">
        <v>40</v>
      </c>
      <c r="T26" s="344">
        <f t="shared" si="7"/>
        <v>111.11111111111111</v>
      </c>
      <c r="U26" s="344">
        <f t="shared" si="4"/>
        <v>7.787841880850347</v>
      </c>
      <c r="V26" s="343">
        <v>1033</v>
      </c>
      <c r="W26" s="343">
        <v>573</v>
      </c>
      <c r="X26" s="344">
        <f t="shared" si="8"/>
        <v>55.469506292352364</v>
      </c>
      <c r="Y26" s="344">
        <f t="shared" si="2"/>
        <v>223.46779619217796</v>
      </c>
      <c r="Z26" s="343">
        <f t="shared" si="9"/>
        <v>905</v>
      </c>
      <c r="AA26" s="343">
        <f t="shared" si="10"/>
        <v>697</v>
      </c>
      <c r="AB26" s="344">
        <f t="shared" si="5"/>
        <v>77.01657458563535</v>
      </c>
      <c r="AC26" s="344">
        <f t="shared" si="3"/>
        <v>195.77769172693232</v>
      </c>
      <c r="AD26" s="343">
        <v>39</v>
      </c>
      <c r="AE26" s="343">
        <v>52</v>
      </c>
      <c r="AF26" s="343">
        <v>32</v>
      </c>
      <c r="AG26" s="343">
        <v>9613</v>
      </c>
      <c r="AH26" s="343">
        <v>462259</v>
      </c>
    </row>
    <row r="27" spans="2:34" ht="27.75" customHeight="1">
      <c r="B27" s="82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112" t="s">
        <v>1029</v>
      </c>
      <c r="N27" s="342">
        <v>8236</v>
      </c>
      <c r="O27" s="343">
        <v>5864</v>
      </c>
      <c r="P27" s="344">
        <v>71.2</v>
      </c>
      <c r="Q27" s="344">
        <v>1782.93</v>
      </c>
      <c r="R27" s="343">
        <v>125</v>
      </c>
      <c r="S27" s="343">
        <v>109</v>
      </c>
      <c r="T27" s="344">
        <v>87.2</v>
      </c>
      <c r="U27" s="344">
        <f t="shared" si="4"/>
        <v>27.060025631256277</v>
      </c>
      <c r="V27" s="343">
        <v>4287</v>
      </c>
      <c r="W27" s="343">
        <v>2538</v>
      </c>
      <c r="X27" s="344">
        <v>59.2</v>
      </c>
      <c r="Y27" s="344">
        <f t="shared" si="2"/>
        <v>928.0506390495652</v>
      </c>
      <c r="Z27" s="343">
        <f t="shared" si="9"/>
        <v>3824</v>
      </c>
      <c r="AA27" s="343">
        <v>3271</v>
      </c>
      <c r="AB27" s="344">
        <f t="shared" si="5"/>
        <v>85.5387029288703</v>
      </c>
      <c r="AC27" s="344">
        <v>827.82</v>
      </c>
      <c r="AD27" s="343">
        <v>234</v>
      </c>
      <c r="AE27" s="343">
        <v>241</v>
      </c>
      <c r="AF27" s="343">
        <v>73</v>
      </c>
      <c r="AG27" s="343">
        <v>48970</v>
      </c>
      <c r="AH27" s="343">
        <v>461936</v>
      </c>
    </row>
    <row r="28" spans="2:34" ht="24" customHeight="1" hidden="1">
      <c r="B28" s="82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258" t="s">
        <v>1025</v>
      </c>
      <c r="N28" s="342">
        <v>1810</v>
      </c>
      <c r="O28" s="343">
        <v>1188</v>
      </c>
      <c r="P28" s="344">
        <f t="shared" si="6"/>
        <v>65.6353591160221</v>
      </c>
      <c r="Q28" s="344">
        <f t="shared" si="1"/>
        <v>391.66298806401636</v>
      </c>
      <c r="R28" s="343">
        <v>19</v>
      </c>
      <c r="S28" s="343">
        <v>15</v>
      </c>
      <c r="T28" s="344">
        <f t="shared" si="7"/>
        <v>78.94736842105263</v>
      </c>
      <c r="U28" s="344">
        <f t="shared" si="4"/>
        <v>4.111379432716194</v>
      </c>
      <c r="V28" s="343">
        <v>905</v>
      </c>
      <c r="W28" s="343">
        <v>506</v>
      </c>
      <c r="X28" s="344">
        <f t="shared" si="8"/>
        <v>55.91160220994475</v>
      </c>
      <c r="Y28" s="344">
        <f t="shared" si="2"/>
        <v>195.83149403200818</v>
      </c>
      <c r="Z28" s="343">
        <f t="shared" si="9"/>
        <v>886</v>
      </c>
      <c r="AA28" s="343">
        <f t="shared" si="10"/>
        <v>667</v>
      </c>
      <c r="AB28" s="344">
        <f t="shared" si="5"/>
        <v>75.2821670428894</v>
      </c>
      <c r="AC28" s="344">
        <f t="shared" si="3"/>
        <v>191.72011459929197</v>
      </c>
      <c r="AD28" s="343">
        <v>52</v>
      </c>
      <c r="AE28" s="343">
        <v>54</v>
      </c>
      <c r="AF28" s="343">
        <v>20</v>
      </c>
      <c r="AG28" s="343">
        <v>10337</v>
      </c>
      <c r="AH28" s="343">
        <v>462132</v>
      </c>
    </row>
    <row r="29" spans="2:34" ht="24" customHeight="1" hidden="1">
      <c r="B29" s="82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258" t="s">
        <v>1026</v>
      </c>
      <c r="N29" s="342">
        <v>2081</v>
      </c>
      <c r="O29" s="343">
        <v>1445</v>
      </c>
      <c r="P29" s="344">
        <f t="shared" si="6"/>
        <v>69.43777030273907</v>
      </c>
      <c r="Q29" s="344">
        <f t="shared" si="1"/>
        <v>450.59187548853816</v>
      </c>
      <c r="R29" s="343">
        <v>44</v>
      </c>
      <c r="S29" s="343">
        <v>34</v>
      </c>
      <c r="T29" s="344">
        <f t="shared" si="7"/>
        <v>77.27272727272727</v>
      </c>
      <c r="U29" s="344">
        <f t="shared" si="4"/>
        <v>9.527170841660586</v>
      </c>
      <c r="V29" s="343">
        <v>1141</v>
      </c>
      <c r="W29" s="343">
        <v>692</v>
      </c>
      <c r="X29" s="344">
        <f t="shared" si="8"/>
        <v>60.64855390008764</v>
      </c>
      <c r="Y29" s="344">
        <f t="shared" si="2"/>
        <v>247.05686205306202</v>
      </c>
      <c r="Z29" s="343">
        <f t="shared" si="9"/>
        <v>896</v>
      </c>
      <c r="AA29" s="343">
        <f t="shared" si="10"/>
        <v>719</v>
      </c>
      <c r="AB29" s="344">
        <f t="shared" si="5"/>
        <v>80.24553571428571</v>
      </c>
      <c r="AC29" s="344">
        <f t="shared" si="3"/>
        <v>194.00784259381555</v>
      </c>
      <c r="AD29" s="343">
        <v>36</v>
      </c>
      <c r="AE29" s="343">
        <v>36</v>
      </c>
      <c r="AF29" s="343">
        <v>16</v>
      </c>
      <c r="AG29" s="343">
        <v>786</v>
      </c>
      <c r="AH29" s="343">
        <v>461837</v>
      </c>
    </row>
    <row r="30" spans="2:34" ht="24" customHeight="1" hidden="1">
      <c r="B30" s="82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258" t="s">
        <v>1027</v>
      </c>
      <c r="N30" s="342">
        <v>2320</v>
      </c>
      <c r="O30" s="343">
        <v>1732</v>
      </c>
      <c r="P30" s="344">
        <f t="shared" si="6"/>
        <v>74.6551724137931</v>
      </c>
      <c r="Q30" s="344">
        <f t="shared" si="1"/>
        <v>502.6203418251618</v>
      </c>
      <c r="R30" s="343">
        <v>35</v>
      </c>
      <c r="S30" s="343">
        <v>32</v>
      </c>
      <c r="T30" s="344">
        <f t="shared" si="7"/>
        <v>91.42857142857143</v>
      </c>
      <c r="U30" s="344">
        <f t="shared" si="4"/>
        <v>7.582634467189941</v>
      </c>
      <c r="V30" s="343">
        <v>1154</v>
      </c>
      <c r="W30" s="343">
        <v>721</v>
      </c>
      <c r="X30" s="344">
        <f t="shared" si="8"/>
        <v>62.47833622183708</v>
      </c>
      <c r="Y30" s="344">
        <f t="shared" si="2"/>
        <v>250.01029071820548</v>
      </c>
      <c r="Z30" s="343">
        <f t="shared" si="9"/>
        <v>1131</v>
      </c>
      <c r="AA30" s="343">
        <f t="shared" si="10"/>
        <v>979</v>
      </c>
      <c r="AB30" s="344">
        <f t="shared" si="5"/>
        <v>86.5605658709107</v>
      </c>
      <c r="AC30" s="344">
        <f t="shared" si="3"/>
        <v>245.02741663976636</v>
      </c>
      <c r="AD30" s="343">
        <v>93</v>
      </c>
      <c r="AE30" s="343">
        <v>92</v>
      </c>
      <c r="AF30" s="343">
        <v>19</v>
      </c>
      <c r="AG30" s="343">
        <v>22884</v>
      </c>
      <c r="AH30" s="343">
        <v>461581</v>
      </c>
    </row>
    <row r="31" spans="2:34" ht="24" customHeight="1" hidden="1">
      <c r="B31" s="82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258" t="s">
        <v>1028</v>
      </c>
      <c r="N31" s="342">
        <v>2045</v>
      </c>
      <c r="O31" s="343">
        <v>1518</v>
      </c>
      <c r="P31" s="344">
        <f t="shared" si="6"/>
        <v>74.22982885085575</v>
      </c>
      <c r="Q31" s="344">
        <f t="shared" si="1"/>
        <v>443.0943368426982</v>
      </c>
      <c r="R31" s="343">
        <v>25</v>
      </c>
      <c r="S31" s="343">
        <v>28</v>
      </c>
      <c r="T31" s="344">
        <f t="shared" si="7"/>
        <v>112.00000000000001</v>
      </c>
      <c r="U31" s="344">
        <f t="shared" si="4"/>
        <v>5.416801183896067</v>
      </c>
      <c r="V31" s="343">
        <v>1092</v>
      </c>
      <c r="W31" s="343">
        <v>621</v>
      </c>
      <c r="X31" s="344">
        <f t="shared" si="8"/>
        <v>56.86813186813187</v>
      </c>
      <c r="Y31" s="344">
        <f t="shared" si="2"/>
        <v>236.6058757125802</v>
      </c>
      <c r="Z31" s="343">
        <f t="shared" si="9"/>
        <v>928</v>
      </c>
      <c r="AA31" s="343">
        <f t="shared" si="10"/>
        <v>869</v>
      </c>
      <c r="AB31" s="344">
        <f t="shared" si="5"/>
        <v>93.64224137931035</v>
      </c>
      <c r="AC31" s="344">
        <f t="shared" si="3"/>
        <v>201.07165994622198</v>
      </c>
      <c r="AD31" s="343">
        <v>53</v>
      </c>
      <c r="AE31" s="343">
        <v>59</v>
      </c>
      <c r="AF31" s="343">
        <v>14</v>
      </c>
      <c r="AG31" s="343">
        <v>6868</v>
      </c>
      <c r="AH31" s="343">
        <v>461527</v>
      </c>
    </row>
    <row r="32" spans="2:34" ht="27.75" customHeight="1">
      <c r="B32" s="82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112" t="s">
        <v>1030</v>
      </c>
      <c r="N32" s="342">
        <v>7707</v>
      </c>
      <c r="O32" s="343">
        <v>5291</v>
      </c>
      <c r="P32" s="344">
        <v>68.65</v>
      </c>
      <c r="Q32" s="344">
        <v>1671.78</v>
      </c>
      <c r="R32" s="343">
        <v>153</v>
      </c>
      <c r="S32" s="343">
        <f>SUM(S33:S36)</f>
        <v>137</v>
      </c>
      <c r="T32" s="344">
        <v>89.54</v>
      </c>
      <c r="U32" s="344">
        <f t="shared" si="4"/>
        <v>33.18828822184527</v>
      </c>
      <c r="V32" s="343">
        <v>3786</v>
      </c>
      <c r="W32" s="343">
        <v>2116</v>
      </c>
      <c r="X32" s="344">
        <v>55.89</v>
      </c>
      <c r="Y32" s="344">
        <f t="shared" si="2"/>
        <v>821.2474458033084</v>
      </c>
      <c r="Z32" s="343">
        <f t="shared" si="9"/>
        <v>3768</v>
      </c>
      <c r="AA32" s="343">
        <f t="shared" si="10"/>
        <v>3038</v>
      </c>
      <c r="AB32" s="344">
        <f t="shared" si="5"/>
        <v>80.62632696390658</v>
      </c>
      <c r="AC32" s="344">
        <f t="shared" si="3"/>
        <v>817.3429413066208</v>
      </c>
      <c r="AD32" s="343">
        <f>SUM(AD33:AD36)</f>
        <v>289</v>
      </c>
      <c r="AE32" s="343">
        <f>SUM(AE33:AE36)</f>
        <v>318</v>
      </c>
      <c r="AF32" s="343">
        <f>SUM(AF33:AF36)</f>
        <v>89</v>
      </c>
      <c r="AG32" s="343">
        <v>21830</v>
      </c>
      <c r="AH32" s="343">
        <v>461006</v>
      </c>
    </row>
    <row r="33" spans="2:34" ht="24" customHeight="1" hidden="1">
      <c r="B33" s="82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258" t="s">
        <v>1025</v>
      </c>
      <c r="N33" s="342">
        <v>1987</v>
      </c>
      <c r="O33" s="343">
        <v>1383</v>
      </c>
      <c r="P33" s="344">
        <f t="shared" si="6"/>
        <v>69.60241570206341</v>
      </c>
      <c r="Q33" s="344">
        <f t="shared" si="1"/>
        <v>430.69159923789044</v>
      </c>
      <c r="R33" s="345">
        <v>32</v>
      </c>
      <c r="S33" s="345">
        <v>23</v>
      </c>
      <c r="T33" s="344">
        <f t="shared" si="7"/>
        <v>71.875</v>
      </c>
      <c r="U33" s="344">
        <f t="shared" si="4"/>
        <v>6.936150566488422</v>
      </c>
      <c r="V33" s="343">
        <v>957</v>
      </c>
      <c r="W33" s="343">
        <v>521</v>
      </c>
      <c r="X33" s="344">
        <f t="shared" si="8"/>
        <v>54.44096133751306</v>
      </c>
      <c r="Y33" s="344">
        <f t="shared" si="2"/>
        <v>207.43425287904435</v>
      </c>
      <c r="Z33" s="343">
        <f t="shared" si="9"/>
        <v>998</v>
      </c>
      <c r="AA33" s="343">
        <f t="shared" si="10"/>
        <v>839</v>
      </c>
      <c r="AB33" s="344">
        <f t="shared" si="5"/>
        <v>84.06813627254509</v>
      </c>
      <c r="AC33" s="344">
        <f t="shared" si="3"/>
        <v>216.32119579235768</v>
      </c>
      <c r="AD33" s="343">
        <v>78</v>
      </c>
      <c r="AE33" s="343">
        <v>84</v>
      </c>
      <c r="AF33" s="343">
        <v>22</v>
      </c>
      <c r="AG33" s="343">
        <v>2180</v>
      </c>
      <c r="AH33" s="343">
        <v>461351</v>
      </c>
    </row>
    <row r="34" spans="2:34" ht="24" customHeight="1" hidden="1">
      <c r="B34" s="82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258" t="s">
        <v>1026</v>
      </c>
      <c r="N34" s="342">
        <v>1889</v>
      </c>
      <c r="O34" s="343">
        <v>1351</v>
      </c>
      <c r="P34" s="344">
        <f t="shared" si="6"/>
        <v>71.51932239280042</v>
      </c>
      <c r="Q34" s="344">
        <f t="shared" si="1"/>
        <v>409.56504582401925</v>
      </c>
      <c r="R34" s="345">
        <v>43</v>
      </c>
      <c r="S34" s="345">
        <v>39</v>
      </c>
      <c r="T34" s="344">
        <f t="shared" si="7"/>
        <v>90.69767441860465</v>
      </c>
      <c r="U34" s="344">
        <f t="shared" si="4"/>
        <v>9.323079391441414</v>
      </c>
      <c r="V34" s="343">
        <v>982</v>
      </c>
      <c r="W34" s="343">
        <v>630</v>
      </c>
      <c r="X34" s="344">
        <f t="shared" si="8"/>
        <v>64.15478615071282</v>
      </c>
      <c r="Y34" s="344">
        <f t="shared" si="2"/>
        <v>212.91311540454575</v>
      </c>
      <c r="Z34" s="343">
        <f t="shared" si="9"/>
        <v>864</v>
      </c>
      <c r="AA34" s="343">
        <f t="shared" si="10"/>
        <v>682</v>
      </c>
      <c r="AB34" s="344">
        <f t="shared" si="5"/>
        <v>78.93518518518519</v>
      </c>
      <c r="AC34" s="344">
        <f t="shared" si="3"/>
        <v>187.32885102803212</v>
      </c>
      <c r="AD34" s="343">
        <v>58</v>
      </c>
      <c r="AE34" s="343">
        <v>78</v>
      </c>
      <c r="AF34" s="343">
        <v>20</v>
      </c>
      <c r="AG34" s="343">
        <v>2690</v>
      </c>
      <c r="AH34" s="343">
        <v>461221</v>
      </c>
    </row>
    <row r="35" spans="2:34" ht="24" customHeight="1" hidden="1">
      <c r="B35" s="82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258" t="s">
        <v>1027</v>
      </c>
      <c r="N35" s="342">
        <v>2099</v>
      </c>
      <c r="O35" s="343">
        <v>1469</v>
      </c>
      <c r="P35" s="344">
        <f t="shared" si="6"/>
        <v>69.98570747975226</v>
      </c>
      <c r="Q35" s="344">
        <f t="shared" si="1"/>
        <v>455.22269910842283</v>
      </c>
      <c r="R35" s="345">
        <v>39</v>
      </c>
      <c r="S35" s="345">
        <v>29</v>
      </c>
      <c r="T35" s="344">
        <f t="shared" si="7"/>
        <v>74.35897435897436</v>
      </c>
      <c r="U35" s="344">
        <f t="shared" si="4"/>
        <v>8.458163537507618</v>
      </c>
      <c r="V35" s="343">
        <v>1024</v>
      </c>
      <c r="W35" s="343">
        <v>583</v>
      </c>
      <c r="X35" s="344">
        <f t="shared" si="8"/>
        <v>56.93359375</v>
      </c>
      <c r="Y35" s="344">
        <f t="shared" si="2"/>
        <v>222.08101185661027</v>
      </c>
      <c r="Z35" s="343">
        <f t="shared" si="9"/>
        <v>1036</v>
      </c>
      <c r="AA35" s="343">
        <f t="shared" si="10"/>
        <v>857</v>
      </c>
      <c r="AB35" s="344">
        <f t="shared" si="5"/>
        <v>82.72200772200772</v>
      </c>
      <c r="AC35" s="344">
        <f t="shared" si="3"/>
        <v>224.6835237143049</v>
      </c>
      <c r="AD35" s="345">
        <v>91</v>
      </c>
      <c r="AE35" s="345">
        <v>94</v>
      </c>
      <c r="AF35" s="343">
        <v>24</v>
      </c>
      <c r="AG35" s="343">
        <v>2618</v>
      </c>
      <c r="AH35" s="343">
        <v>461093</v>
      </c>
    </row>
    <row r="36" spans="2:34" ht="24" customHeight="1" hidden="1">
      <c r="B36" s="82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258" t="s">
        <v>1028</v>
      </c>
      <c r="N36" s="342">
        <v>1816</v>
      </c>
      <c r="O36" s="343">
        <v>1167</v>
      </c>
      <c r="P36" s="344">
        <f t="shared" si="6"/>
        <v>64.26211453744493</v>
      </c>
      <c r="Q36" s="344">
        <f t="shared" si="1"/>
        <v>393.92112033249026</v>
      </c>
      <c r="R36" s="345">
        <v>41</v>
      </c>
      <c r="S36" s="345">
        <v>46</v>
      </c>
      <c r="T36" s="344">
        <f t="shared" si="7"/>
        <v>112.19512195121952</v>
      </c>
      <c r="U36" s="344">
        <f t="shared" si="4"/>
        <v>8.893593575788602</v>
      </c>
      <c r="V36" s="343">
        <v>873</v>
      </c>
      <c r="W36" s="343">
        <v>433</v>
      </c>
      <c r="X36" s="344">
        <f t="shared" si="8"/>
        <v>49.59908361970218</v>
      </c>
      <c r="Y36" s="344">
        <f t="shared" si="2"/>
        <v>189.3684680893524</v>
      </c>
      <c r="Z36" s="343">
        <f t="shared" si="9"/>
        <v>902</v>
      </c>
      <c r="AA36" s="343">
        <f t="shared" si="10"/>
        <v>688</v>
      </c>
      <c r="AB36" s="344">
        <f t="shared" si="5"/>
        <v>76.27494456762749</v>
      </c>
      <c r="AC36" s="344">
        <f t="shared" si="3"/>
        <v>195.65905866734923</v>
      </c>
      <c r="AD36" s="345">
        <v>62</v>
      </c>
      <c r="AE36" s="345">
        <v>62</v>
      </c>
      <c r="AF36" s="343">
        <v>23</v>
      </c>
      <c r="AG36" s="343">
        <v>14341</v>
      </c>
      <c r="AH36" s="343">
        <v>461006</v>
      </c>
    </row>
    <row r="37" spans="2:34" ht="24" customHeight="1" hidden="1">
      <c r="B37" s="82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273"/>
      <c r="N37" s="342"/>
      <c r="O37" s="343"/>
      <c r="P37" s="344"/>
      <c r="Q37" s="344"/>
      <c r="R37" s="345"/>
      <c r="S37" s="345"/>
      <c r="T37" s="344"/>
      <c r="U37" s="344"/>
      <c r="V37" s="343"/>
      <c r="W37" s="343"/>
      <c r="X37" s="344"/>
      <c r="Y37" s="344"/>
      <c r="Z37" s="343"/>
      <c r="AA37" s="343"/>
      <c r="AB37" s="344"/>
      <c r="AC37" s="344"/>
      <c r="AD37" s="345"/>
      <c r="AE37" s="345"/>
      <c r="AF37" s="343"/>
      <c r="AG37" s="343"/>
      <c r="AH37" s="343"/>
    </row>
    <row r="38" spans="2:34" ht="27.75" customHeight="1">
      <c r="B38" s="82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112" t="s">
        <v>1031</v>
      </c>
      <c r="N38" s="342">
        <v>7540</v>
      </c>
      <c r="O38" s="343">
        <v>5924</v>
      </c>
      <c r="P38" s="344">
        <v>78.57</v>
      </c>
      <c r="Q38" s="344">
        <v>1637.66</v>
      </c>
      <c r="R38" s="345">
        <v>133</v>
      </c>
      <c r="S38" s="345">
        <v>128</v>
      </c>
      <c r="T38" s="344">
        <v>96.24</v>
      </c>
      <c r="U38" s="344">
        <f aca="true" t="shared" si="11" ref="U38:U49">R38/AH38*100000</f>
        <v>28.887170621095887</v>
      </c>
      <c r="V38" s="343">
        <v>3336</v>
      </c>
      <c r="W38" s="343">
        <v>2130</v>
      </c>
      <c r="X38" s="344">
        <v>63.85</v>
      </c>
      <c r="Y38" s="344">
        <f aca="true" t="shared" si="12" ref="Y38:Y52">V38/AH38*100000</f>
        <v>724.5684300148563</v>
      </c>
      <c r="Z38" s="343">
        <v>4071</v>
      </c>
      <c r="AA38" s="343">
        <v>3666</v>
      </c>
      <c r="AB38" s="344">
        <f aca="true" t="shared" si="13" ref="AB38:AB46">AA38/Z38*100</f>
        <v>90.05158437730287</v>
      </c>
      <c r="AC38" s="344">
        <f aca="true" t="shared" si="14" ref="AC38:AC46">Z38/AH38*100000</f>
        <v>884.2080571314389</v>
      </c>
      <c r="AD38" s="345">
        <v>203</v>
      </c>
      <c r="AE38" s="345">
        <v>250</v>
      </c>
      <c r="AF38" s="343">
        <v>72</v>
      </c>
      <c r="AG38" s="343">
        <v>17825</v>
      </c>
      <c r="AH38" s="343">
        <v>460412</v>
      </c>
    </row>
    <row r="39" spans="2:34" ht="24" customHeight="1" hidden="1">
      <c r="B39" s="82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258" t="s">
        <v>1025</v>
      </c>
      <c r="N39" s="342">
        <v>1851</v>
      </c>
      <c r="O39" s="343">
        <v>1486</v>
      </c>
      <c r="P39" s="344">
        <f aca="true" t="shared" si="15" ref="P39:P46">O39/N39*100</f>
        <v>80.28092922744462</v>
      </c>
      <c r="Q39" s="344">
        <f aca="true" t="shared" si="16" ref="Q39:Q49">N39/AH39*100000</f>
        <v>402.1124481066391</v>
      </c>
      <c r="R39" s="345">
        <v>32</v>
      </c>
      <c r="S39" s="345">
        <v>34</v>
      </c>
      <c r="T39" s="344">
        <f aca="true" t="shared" si="17" ref="T39:T46">S39/R39*100</f>
        <v>106.25</v>
      </c>
      <c r="U39" s="344">
        <f t="shared" si="11"/>
        <v>6.951700885690141</v>
      </c>
      <c r="V39" s="343">
        <v>824</v>
      </c>
      <c r="W39" s="343">
        <v>504</v>
      </c>
      <c r="X39" s="344">
        <f aca="true" t="shared" si="18" ref="X39:X46">W39/V39*100</f>
        <v>61.165048543689316</v>
      </c>
      <c r="Y39" s="344">
        <f t="shared" si="12"/>
        <v>179.00629780652113</v>
      </c>
      <c r="Z39" s="343">
        <f aca="true" t="shared" si="19" ref="Z39:AA42">N39-R39-V39</f>
        <v>995</v>
      </c>
      <c r="AA39" s="343">
        <f t="shared" si="19"/>
        <v>948</v>
      </c>
      <c r="AB39" s="344">
        <f t="shared" si="13"/>
        <v>95.27638190954774</v>
      </c>
      <c r="AC39" s="344">
        <f t="shared" si="14"/>
        <v>216.1544494144278</v>
      </c>
      <c r="AD39" s="345">
        <v>63</v>
      </c>
      <c r="AE39" s="345">
        <v>89</v>
      </c>
      <c r="AF39" s="343">
        <v>15</v>
      </c>
      <c r="AG39" s="343">
        <v>1018</v>
      </c>
      <c r="AH39" s="343">
        <v>460319</v>
      </c>
    </row>
    <row r="40" spans="2:34" ht="24" customHeight="1" hidden="1">
      <c r="B40" s="82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258" t="s">
        <v>1026</v>
      </c>
      <c r="N40" s="342">
        <v>1824</v>
      </c>
      <c r="O40" s="343">
        <v>1419</v>
      </c>
      <c r="P40" s="344">
        <f t="shared" si="15"/>
        <v>77.79605263157895</v>
      </c>
      <c r="Q40" s="344">
        <f t="shared" si="16"/>
        <v>396.28052489788826</v>
      </c>
      <c r="R40" s="345">
        <v>26</v>
      </c>
      <c r="S40" s="345">
        <v>28</v>
      </c>
      <c r="T40" s="344">
        <f t="shared" si="17"/>
        <v>107.6923076923077</v>
      </c>
      <c r="U40" s="344">
        <f t="shared" si="11"/>
        <v>5.648735552272529</v>
      </c>
      <c r="V40" s="343">
        <v>843</v>
      </c>
      <c r="W40" s="343">
        <v>582</v>
      </c>
      <c r="X40" s="344">
        <f t="shared" si="18"/>
        <v>69.03914590747331</v>
      </c>
      <c r="Y40" s="344">
        <f t="shared" si="12"/>
        <v>183.14938732945163</v>
      </c>
      <c r="Z40" s="343">
        <f t="shared" si="19"/>
        <v>955</v>
      </c>
      <c r="AA40" s="343">
        <f t="shared" si="19"/>
        <v>809</v>
      </c>
      <c r="AB40" s="344">
        <f t="shared" si="13"/>
        <v>84.71204188481676</v>
      </c>
      <c r="AC40" s="344">
        <f t="shared" si="14"/>
        <v>207.4824020161641</v>
      </c>
      <c r="AD40" s="345">
        <v>37</v>
      </c>
      <c r="AE40" s="343">
        <v>55</v>
      </c>
      <c r="AF40" s="343">
        <v>24</v>
      </c>
      <c r="AG40" s="343">
        <v>5942</v>
      </c>
      <c r="AH40" s="343">
        <v>460280</v>
      </c>
    </row>
    <row r="41" spans="2:34" ht="24" customHeight="1" hidden="1">
      <c r="B41" s="82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258" t="s">
        <v>1027</v>
      </c>
      <c r="N41" s="343">
        <v>2057</v>
      </c>
      <c r="O41" s="343">
        <v>1599</v>
      </c>
      <c r="P41" s="344">
        <f t="shared" si="15"/>
        <v>77.7345649003403</v>
      </c>
      <c r="Q41" s="344">
        <f t="shared" si="16"/>
        <v>446.8727596619669</v>
      </c>
      <c r="R41" s="343">
        <v>33</v>
      </c>
      <c r="S41" s="343">
        <v>29</v>
      </c>
      <c r="T41" s="344">
        <f t="shared" si="17"/>
        <v>87.87878787878788</v>
      </c>
      <c r="U41" s="344">
        <f t="shared" si="11"/>
        <v>7.169081705806955</v>
      </c>
      <c r="V41" s="343">
        <v>865</v>
      </c>
      <c r="W41" s="343">
        <v>521</v>
      </c>
      <c r="X41" s="344">
        <f t="shared" si="18"/>
        <v>60.23121387283237</v>
      </c>
      <c r="Y41" s="344">
        <f t="shared" si="12"/>
        <v>187.91683865221265</v>
      </c>
      <c r="Z41" s="343">
        <f t="shared" si="19"/>
        <v>1159</v>
      </c>
      <c r="AA41" s="343">
        <f t="shared" si="19"/>
        <v>1049</v>
      </c>
      <c r="AB41" s="344">
        <f t="shared" si="13"/>
        <v>90.5090595340811</v>
      </c>
      <c r="AC41" s="344">
        <f t="shared" si="14"/>
        <v>251.78683930394732</v>
      </c>
      <c r="AD41" s="343">
        <v>86</v>
      </c>
      <c r="AE41" s="343">
        <v>86</v>
      </c>
      <c r="AF41" s="343">
        <v>14</v>
      </c>
      <c r="AG41" s="343">
        <v>1002</v>
      </c>
      <c r="AH41" s="343">
        <v>460310</v>
      </c>
    </row>
    <row r="42" spans="2:34" ht="24" customHeight="1" hidden="1">
      <c r="B42" s="82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258" t="s">
        <v>1028</v>
      </c>
      <c r="N42" s="343">
        <v>1831</v>
      </c>
      <c r="O42" s="343">
        <v>1452</v>
      </c>
      <c r="P42" s="344">
        <f t="shared" si="15"/>
        <v>79.3009284543965</v>
      </c>
      <c r="Q42" s="344">
        <f t="shared" si="16"/>
        <v>397.68728877613967</v>
      </c>
      <c r="R42" s="343">
        <v>41</v>
      </c>
      <c r="S42" s="343">
        <v>36</v>
      </c>
      <c r="T42" s="344">
        <f t="shared" si="17"/>
        <v>87.8048780487805</v>
      </c>
      <c r="U42" s="344">
        <f t="shared" si="11"/>
        <v>8.905067635074673</v>
      </c>
      <c r="V42" s="343">
        <v>803</v>
      </c>
      <c r="W42" s="343">
        <v>530</v>
      </c>
      <c r="X42" s="344">
        <f t="shared" si="18"/>
        <v>66.0024906600249</v>
      </c>
      <c r="Y42" s="344">
        <f t="shared" si="12"/>
        <v>174.40900758451124</v>
      </c>
      <c r="Z42" s="343">
        <f t="shared" si="19"/>
        <v>987</v>
      </c>
      <c r="AA42" s="343">
        <f t="shared" si="19"/>
        <v>886</v>
      </c>
      <c r="AB42" s="344">
        <f t="shared" si="13"/>
        <v>89.76697061803445</v>
      </c>
      <c r="AC42" s="344">
        <f t="shared" si="14"/>
        <v>214.37321355655368</v>
      </c>
      <c r="AD42" s="343">
        <v>17</v>
      </c>
      <c r="AE42" s="343">
        <v>20</v>
      </c>
      <c r="AF42" s="343">
        <v>19</v>
      </c>
      <c r="AG42" s="343">
        <v>11326</v>
      </c>
      <c r="AH42" s="343">
        <v>460412</v>
      </c>
    </row>
    <row r="43" spans="2:34" ht="27.75" customHeight="1">
      <c r="B43" s="82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112" t="s">
        <v>1032</v>
      </c>
      <c r="N43" s="343">
        <v>7104</v>
      </c>
      <c r="O43" s="343">
        <v>5585</v>
      </c>
      <c r="P43" s="344">
        <v>78.62</v>
      </c>
      <c r="Q43" s="344">
        <v>1542.17</v>
      </c>
      <c r="R43" s="343">
        <v>91</v>
      </c>
      <c r="S43" s="343">
        <v>85</v>
      </c>
      <c r="T43" s="344">
        <v>93.41</v>
      </c>
      <c r="U43" s="344">
        <f t="shared" si="11"/>
        <v>19.754694453489634</v>
      </c>
      <c r="V43" s="343">
        <v>2910</v>
      </c>
      <c r="W43" s="343">
        <v>1942</v>
      </c>
      <c r="X43" s="344">
        <v>66.74</v>
      </c>
      <c r="Y43" s="344">
        <f t="shared" si="12"/>
        <v>631.7160534028004</v>
      </c>
      <c r="Z43" s="343">
        <v>4103</v>
      </c>
      <c r="AA43" s="343">
        <v>3558</v>
      </c>
      <c r="AB43" s="344">
        <f t="shared" si="13"/>
        <v>86.71703631489154</v>
      </c>
      <c r="AC43" s="344">
        <f t="shared" si="14"/>
        <v>890.6979268425052</v>
      </c>
      <c r="AD43" s="343">
        <v>188</v>
      </c>
      <c r="AE43" s="343">
        <v>239</v>
      </c>
      <c r="AF43" s="343">
        <v>87</v>
      </c>
      <c r="AG43" s="343">
        <v>9623</v>
      </c>
      <c r="AH43" s="343">
        <v>460650</v>
      </c>
    </row>
    <row r="44" spans="2:34" ht="24" customHeight="1" hidden="1">
      <c r="B44" s="82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258" t="s">
        <v>1025</v>
      </c>
      <c r="N44" s="343">
        <v>1781</v>
      </c>
      <c r="O44" s="343">
        <v>1537</v>
      </c>
      <c r="P44" s="344">
        <f t="shared" si="15"/>
        <v>86.299831555306</v>
      </c>
      <c r="Q44" s="344">
        <f t="shared" si="16"/>
        <v>386.73085399987406</v>
      </c>
      <c r="R44" s="343">
        <v>20</v>
      </c>
      <c r="S44" s="343">
        <v>22</v>
      </c>
      <c r="T44" s="344">
        <f t="shared" si="17"/>
        <v>110.00000000000001</v>
      </c>
      <c r="U44" s="344">
        <f t="shared" si="11"/>
        <v>4.342850690621831</v>
      </c>
      <c r="V44" s="343">
        <v>758</v>
      </c>
      <c r="W44" s="343">
        <v>608</v>
      </c>
      <c r="X44" s="344">
        <f t="shared" si="18"/>
        <v>80.21108179419525</v>
      </c>
      <c r="Y44" s="344">
        <f t="shared" si="12"/>
        <v>164.5940411745674</v>
      </c>
      <c r="Z44" s="343">
        <f aca="true" t="shared" si="20" ref="Z44:AA46">N44-R44-V44</f>
        <v>1003</v>
      </c>
      <c r="AA44" s="343">
        <f t="shared" si="20"/>
        <v>907</v>
      </c>
      <c r="AB44" s="344">
        <f t="shared" si="13"/>
        <v>90.42871385842473</v>
      </c>
      <c r="AC44" s="344">
        <f t="shared" si="14"/>
        <v>217.79396213468485</v>
      </c>
      <c r="AD44" s="343">
        <v>25</v>
      </c>
      <c r="AE44" s="343">
        <v>32</v>
      </c>
      <c r="AF44" s="343">
        <v>27</v>
      </c>
      <c r="AG44" s="343">
        <v>2772</v>
      </c>
      <c r="AH44" s="343">
        <v>460527</v>
      </c>
    </row>
    <row r="45" spans="2:34" ht="29.25" customHeight="1" hidden="1">
      <c r="B45" s="82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258" t="s">
        <v>1026</v>
      </c>
      <c r="N45" s="343">
        <v>1806</v>
      </c>
      <c r="O45" s="343">
        <v>1375</v>
      </c>
      <c r="P45" s="344">
        <f t="shared" si="15"/>
        <v>76.13510520487264</v>
      </c>
      <c r="Q45" s="344">
        <f t="shared" si="16"/>
        <v>391.86840512162894</v>
      </c>
      <c r="R45" s="343">
        <v>26</v>
      </c>
      <c r="S45" s="343">
        <v>24</v>
      </c>
      <c r="T45" s="344">
        <f t="shared" si="17"/>
        <v>92.3076923076923</v>
      </c>
      <c r="U45" s="344">
        <f t="shared" si="11"/>
        <v>5.641516352803074</v>
      </c>
      <c r="V45" s="343">
        <v>805</v>
      </c>
      <c r="W45" s="343">
        <v>500</v>
      </c>
      <c r="X45" s="344">
        <f t="shared" si="18"/>
        <v>62.11180124223602</v>
      </c>
      <c r="Y45" s="344">
        <f t="shared" si="12"/>
        <v>174.67002553871058</v>
      </c>
      <c r="Z45" s="343">
        <f t="shared" si="20"/>
        <v>975</v>
      </c>
      <c r="AA45" s="343">
        <f t="shared" si="20"/>
        <v>851</v>
      </c>
      <c r="AB45" s="344">
        <f t="shared" si="13"/>
        <v>87.28205128205128</v>
      </c>
      <c r="AC45" s="344">
        <f t="shared" si="14"/>
        <v>211.55686323011528</v>
      </c>
      <c r="AD45" s="343">
        <v>34</v>
      </c>
      <c r="AE45" s="343">
        <v>74</v>
      </c>
      <c r="AF45" s="343">
        <v>21</v>
      </c>
      <c r="AG45" s="343">
        <v>1998</v>
      </c>
      <c r="AH45" s="343">
        <v>460869</v>
      </c>
    </row>
    <row r="46" spans="2:34" ht="27.75" customHeight="1" hidden="1">
      <c r="B46" s="82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258" t="s">
        <v>1027</v>
      </c>
      <c r="N46" s="343">
        <v>1952</v>
      </c>
      <c r="O46" s="343">
        <v>1483</v>
      </c>
      <c r="P46" s="344">
        <f t="shared" si="15"/>
        <v>75.97336065573771</v>
      </c>
      <c r="Q46" s="344">
        <f t="shared" si="16"/>
        <v>423.3465195364008</v>
      </c>
      <c r="R46" s="343">
        <v>28</v>
      </c>
      <c r="S46" s="343">
        <v>25</v>
      </c>
      <c r="T46" s="344">
        <f t="shared" si="17"/>
        <v>89.28571428571429</v>
      </c>
      <c r="U46" s="344">
        <f t="shared" si="11"/>
        <v>6.072593517940176</v>
      </c>
      <c r="V46" s="343">
        <v>745</v>
      </c>
      <c r="W46" s="343">
        <v>501</v>
      </c>
      <c r="X46" s="344">
        <f t="shared" si="18"/>
        <v>67.24832214765101</v>
      </c>
      <c r="Y46" s="344">
        <f t="shared" si="12"/>
        <v>161.57436324519398</v>
      </c>
      <c r="Z46" s="343">
        <f t="shared" si="20"/>
        <v>1179</v>
      </c>
      <c r="AA46" s="343">
        <f t="shared" si="20"/>
        <v>957</v>
      </c>
      <c r="AB46" s="344">
        <f t="shared" si="13"/>
        <v>81.1704834605598</v>
      </c>
      <c r="AC46" s="344">
        <f t="shared" si="14"/>
        <v>255.69956277326668</v>
      </c>
      <c r="AD46" s="343">
        <v>119</v>
      </c>
      <c r="AE46" s="343">
        <v>119</v>
      </c>
      <c r="AF46" s="343">
        <v>23</v>
      </c>
      <c r="AG46" s="343">
        <v>1701</v>
      </c>
      <c r="AH46" s="343">
        <v>461088</v>
      </c>
    </row>
    <row r="47" spans="2:34" ht="27.75" customHeight="1" hidden="1">
      <c r="B47" s="82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258" t="s">
        <v>113</v>
      </c>
      <c r="N47" s="343">
        <v>1662</v>
      </c>
      <c r="O47" s="343">
        <v>1303</v>
      </c>
      <c r="P47" s="344">
        <f>O47/N47*100</f>
        <v>78.39951865222623</v>
      </c>
      <c r="Q47" s="344">
        <f t="shared" si="16"/>
        <v>360.5221714627829</v>
      </c>
      <c r="R47" s="343">
        <v>15</v>
      </c>
      <c r="S47" s="343">
        <v>14</v>
      </c>
      <c r="T47" s="344">
        <f>S47/R47*100</f>
        <v>93.33333333333333</v>
      </c>
      <c r="U47" s="344">
        <f t="shared" si="11"/>
        <v>3.2538102117579686</v>
      </c>
      <c r="V47" s="343">
        <v>655</v>
      </c>
      <c r="W47" s="343">
        <v>395</v>
      </c>
      <c r="X47" s="344">
        <f aca="true" t="shared" si="21" ref="X47:X52">W47/V47*100</f>
        <v>60.30534351145038</v>
      </c>
      <c r="Y47" s="344">
        <f t="shared" si="12"/>
        <v>142.08304591343128</v>
      </c>
      <c r="Z47" s="343">
        <f>N47-R47-V47</f>
        <v>992</v>
      </c>
      <c r="AA47" s="343">
        <f>O47-S47-W47</f>
        <v>894</v>
      </c>
      <c r="AB47" s="344">
        <f aca="true" t="shared" si="22" ref="AB47:AB52">AA47/Z47*100</f>
        <v>90.12096774193549</v>
      </c>
      <c r="AC47" s="344">
        <f aca="true" t="shared" si="23" ref="AC47:AC52">Z47/AH47*100000</f>
        <v>215.18531533759366</v>
      </c>
      <c r="AD47" s="343">
        <v>10</v>
      </c>
      <c r="AE47" s="343">
        <v>14</v>
      </c>
      <c r="AF47" s="343">
        <v>16</v>
      </c>
      <c r="AG47" s="343">
        <v>3152</v>
      </c>
      <c r="AH47" s="343">
        <v>460998</v>
      </c>
    </row>
    <row r="48" spans="2:34" ht="27.75" customHeight="1">
      <c r="B48" s="82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112" t="s">
        <v>1033</v>
      </c>
      <c r="N48" s="343">
        <v>6054</v>
      </c>
      <c r="O48" s="343">
        <v>4820</v>
      </c>
      <c r="P48" s="344">
        <v>79.62</v>
      </c>
      <c r="Q48" s="344">
        <v>1312.48</v>
      </c>
      <c r="R48" s="343">
        <v>77</v>
      </c>
      <c r="S48" s="343">
        <f>SUM(S49:S52)</f>
        <v>71</v>
      </c>
      <c r="T48" s="344">
        <v>92.21</v>
      </c>
      <c r="U48" s="344">
        <f t="shared" si="11"/>
        <v>16.693278353912675</v>
      </c>
      <c r="V48" s="343">
        <v>2263</v>
      </c>
      <c r="W48" s="343">
        <v>1459</v>
      </c>
      <c r="X48" s="344">
        <v>64.47</v>
      </c>
      <c r="Y48" s="344">
        <f t="shared" si="12"/>
        <v>490.6089469468102</v>
      </c>
      <c r="Z48" s="343">
        <v>3714</v>
      </c>
      <c r="AA48" s="343">
        <v>3290</v>
      </c>
      <c r="AB48" s="344">
        <f t="shared" si="22"/>
        <v>88.58373721055466</v>
      </c>
      <c r="AC48" s="344">
        <f t="shared" si="23"/>
        <v>805.1796857978139</v>
      </c>
      <c r="AD48" s="343">
        <f>SUM(AD49:AD52)</f>
        <v>181</v>
      </c>
      <c r="AE48" s="343">
        <f>SUM(AE49:AE52)</f>
        <v>264</v>
      </c>
      <c r="AF48" s="343">
        <f>SUM(AF49:AF52)</f>
        <v>94</v>
      </c>
      <c r="AG48" s="343">
        <v>113266</v>
      </c>
      <c r="AH48" s="343">
        <v>461263.5</v>
      </c>
    </row>
    <row r="49" spans="2:34" ht="27.75" customHeight="1" hidden="1">
      <c r="B49" s="82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258" t="s">
        <v>1025</v>
      </c>
      <c r="N49" s="343">
        <v>1687</v>
      </c>
      <c r="O49" s="343">
        <v>1426</v>
      </c>
      <c r="P49" s="344">
        <f>O49/N49*100</f>
        <v>84.52874925903971</v>
      </c>
      <c r="Q49" s="344">
        <f t="shared" si="16"/>
        <v>366.0190277822979</v>
      </c>
      <c r="R49" s="343">
        <v>22</v>
      </c>
      <c r="S49" s="343">
        <v>13</v>
      </c>
      <c r="T49" s="344">
        <f>S49/R49*100</f>
        <v>59.09090909090909</v>
      </c>
      <c r="U49" s="344">
        <f t="shared" si="11"/>
        <v>4.773217908245734</v>
      </c>
      <c r="V49" s="343">
        <v>686</v>
      </c>
      <c r="W49" s="343">
        <v>509</v>
      </c>
      <c r="X49" s="344">
        <f t="shared" si="21"/>
        <v>74.19825072886297</v>
      </c>
      <c r="Y49" s="344">
        <f t="shared" si="12"/>
        <v>148.837612957117</v>
      </c>
      <c r="Z49" s="343">
        <f aca="true" t="shared" si="24" ref="Z49:AA51">N49-R49-V49</f>
        <v>979</v>
      </c>
      <c r="AA49" s="343">
        <f t="shared" si="24"/>
        <v>904</v>
      </c>
      <c r="AB49" s="344">
        <f t="shared" si="22"/>
        <v>92.3391215526047</v>
      </c>
      <c r="AC49" s="344">
        <f t="shared" si="23"/>
        <v>212.40819691693514</v>
      </c>
      <c r="AD49" s="343">
        <v>29</v>
      </c>
      <c r="AE49" s="343">
        <v>70</v>
      </c>
      <c r="AF49" s="343">
        <v>34</v>
      </c>
      <c r="AG49" s="343">
        <v>17436</v>
      </c>
      <c r="AH49" s="343">
        <v>460905</v>
      </c>
    </row>
    <row r="50" spans="2:34" ht="27.75" customHeight="1" hidden="1">
      <c r="B50" s="82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258" t="s">
        <v>1026</v>
      </c>
      <c r="N50" s="343">
        <v>1593</v>
      </c>
      <c r="O50" s="343">
        <v>1222</v>
      </c>
      <c r="P50" s="344">
        <f>O50/N50*100</f>
        <v>76.71060891399874</v>
      </c>
      <c r="Q50" s="344">
        <v>345.4145299608617</v>
      </c>
      <c r="R50" s="343">
        <v>19</v>
      </c>
      <c r="S50" s="343">
        <v>18</v>
      </c>
      <c r="T50" s="344">
        <f>S50/R50*100</f>
        <v>94.73684210526315</v>
      </c>
      <c r="U50" s="344">
        <v>4.119821763500548</v>
      </c>
      <c r="V50" s="343">
        <v>601</v>
      </c>
      <c r="W50" s="343">
        <v>397</v>
      </c>
      <c r="X50" s="344">
        <f t="shared" si="21"/>
        <v>66.05657237936772</v>
      </c>
      <c r="Y50" s="344">
        <f t="shared" si="12"/>
        <v>130.31731507300805</v>
      </c>
      <c r="Z50" s="343">
        <f t="shared" si="24"/>
        <v>973</v>
      </c>
      <c r="AA50" s="343">
        <f t="shared" si="24"/>
        <v>807</v>
      </c>
      <c r="AB50" s="344">
        <f t="shared" si="22"/>
        <v>82.9393627954779</v>
      </c>
      <c r="AC50" s="344">
        <f t="shared" si="23"/>
        <v>210.97961325463697</v>
      </c>
      <c r="AD50" s="343">
        <v>25</v>
      </c>
      <c r="AE50" s="343">
        <v>27</v>
      </c>
      <c r="AF50" s="343">
        <v>22</v>
      </c>
      <c r="AG50" s="343">
        <v>30272</v>
      </c>
      <c r="AH50" s="343">
        <f>'[14]保安防衛'!$S$21</f>
        <v>461182</v>
      </c>
    </row>
    <row r="51" spans="2:34" ht="27.75" customHeight="1" hidden="1">
      <c r="B51" s="82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258" t="s">
        <v>1027</v>
      </c>
      <c r="N51" s="343">
        <v>1520</v>
      </c>
      <c r="O51" s="343">
        <v>1213</v>
      </c>
      <c r="P51" s="344">
        <f>O51/N51*100</f>
        <v>79.80263157894737</v>
      </c>
      <c r="Q51" s="344">
        <f aca="true" t="shared" si="25" ref="Q51:Q56">N51/AH51*100000</f>
        <v>329.6801018537999</v>
      </c>
      <c r="R51" s="343">
        <v>22</v>
      </c>
      <c r="S51" s="343">
        <v>29</v>
      </c>
      <c r="T51" s="344">
        <f>S51/R51*100</f>
        <v>131.8181818181818</v>
      </c>
      <c r="U51" s="344">
        <f aca="true" t="shared" si="26" ref="U51:U56">R51/AH51*100000</f>
        <v>4.771685684726051</v>
      </c>
      <c r="V51" s="343">
        <v>516</v>
      </c>
      <c r="W51" s="343">
        <v>319</v>
      </c>
      <c r="X51" s="344">
        <f t="shared" si="21"/>
        <v>61.82170542635659</v>
      </c>
      <c r="Y51" s="344">
        <f t="shared" si="12"/>
        <v>111.917718787211</v>
      </c>
      <c r="Z51" s="343">
        <f t="shared" si="24"/>
        <v>982</v>
      </c>
      <c r="AA51" s="343">
        <f t="shared" si="24"/>
        <v>865</v>
      </c>
      <c r="AB51" s="344">
        <f t="shared" si="22"/>
        <v>88.08553971486762</v>
      </c>
      <c r="AC51" s="344">
        <f t="shared" si="23"/>
        <v>212.99069738186282</v>
      </c>
      <c r="AD51" s="343">
        <v>90</v>
      </c>
      <c r="AE51" s="343">
        <v>105</v>
      </c>
      <c r="AF51" s="343">
        <v>8</v>
      </c>
      <c r="AG51" s="343">
        <v>5898</v>
      </c>
      <c r="AH51" s="343">
        <f>'[14]保安防衛'!$S$24</f>
        <v>461053</v>
      </c>
    </row>
    <row r="52" spans="2:34" ht="27.75" customHeight="1">
      <c r="B52" s="82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258" t="s">
        <v>1106</v>
      </c>
      <c r="N52" s="343">
        <v>1289</v>
      </c>
      <c r="O52" s="343">
        <v>993</v>
      </c>
      <c r="P52" s="344">
        <v>77.04</v>
      </c>
      <c r="Q52" s="344">
        <v>279.36</v>
      </c>
      <c r="R52" s="343">
        <v>14</v>
      </c>
      <c r="S52" s="343">
        <f>SUM('[14]保安防衛'!H$25:H$27)</f>
        <v>11</v>
      </c>
      <c r="T52" s="344">
        <v>78.57</v>
      </c>
      <c r="U52" s="344">
        <f t="shared" si="26"/>
        <v>3.0341515428660593</v>
      </c>
      <c r="V52" s="343">
        <f>SUM('[14]保安防衛'!K$25:K$27)</f>
        <v>468</v>
      </c>
      <c r="W52" s="343">
        <f>SUM('[14]保安防衛'!L$25:L$27)</f>
        <v>243</v>
      </c>
      <c r="X52" s="344">
        <f t="shared" si="21"/>
        <v>51.92307692307693</v>
      </c>
      <c r="Y52" s="344">
        <f t="shared" si="12"/>
        <v>101.42735157580827</v>
      </c>
      <c r="Z52" s="343">
        <v>807</v>
      </c>
      <c r="AA52" s="343">
        <v>739</v>
      </c>
      <c r="AB52" s="344">
        <f t="shared" si="22"/>
        <v>91.57372986369269</v>
      </c>
      <c r="AC52" s="344">
        <f t="shared" si="23"/>
        <v>174.89716393520786</v>
      </c>
      <c r="AD52" s="343">
        <f>14+0+23</f>
        <v>37</v>
      </c>
      <c r="AE52" s="343">
        <f>34+0+28</f>
        <v>62</v>
      </c>
      <c r="AF52" s="343">
        <v>30</v>
      </c>
      <c r="AG52" s="343">
        <v>59661</v>
      </c>
      <c r="AH52" s="343">
        <f>'[14]保安防衛'!$S$27</f>
        <v>461414</v>
      </c>
    </row>
    <row r="53" spans="2:34" ht="27.75" customHeight="1">
      <c r="B53" s="82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112" t="s">
        <v>222</v>
      </c>
      <c r="N53" s="343">
        <f>SUM(N54:N57)</f>
        <v>5658</v>
      </c>
      <c r="O53" s="343">
        <f>SUM(O54:O57)</f>
        <v>4576.0279</v>
      </c>
      <c r="P53" s="344">
        <f>O53/N53*100</f>
        <v>80.87712796041005</v>
      </c>
      <c r="Q53" s="344">
        <f t="shared" si="25"/>
        <v>1227.1841459433842</v>
      </c>
      <c r="R53" s="343">
        <f>SUM(R54:R57)</f>
        <v>63</v>
      </c>
      <c r="S53" s="343">
        <f>SUM(S54:S57)</f>
        <v>62</v>
      </c>
      <c r="T53" s="344">
        <f>S53/R53*100</f>
        <v>98.4126984126984</v>
      </c>
      <c r="U53" s="344">
        <f t="shared" si="26"/>
        <v>13.664298549740758</v>
      </c>
      <c r="V53" s="343">
        <f>SUM(V54:V57)</f>
        <v>1905</v>
      </c>
      <c r="W53" s="343">
        <f>SUM(W54:W57)</f>
        <v>1182</v>
      </c>
      <c r="X53" s="344">
        <f>W53/V53*100</f>
        <v>62.047244094488185</v>
      </c>
      <c r="Y53" s="344">
        <f>V53/AH53*100000</f>
        <v>413.1823609088277</v>
      </c>
      <c r="Z53" s="343">
        <f>SUM(Z54:Z57)</f>
        <v>3690</v>
      </c>
      <c r="AA53" s="343">
        <f>SUM(AA54:AA57)</f>
        <v>3332.0279</v>
      </c>
      <c r="AB53" s="344">
        <f>AA53/Z53*100</f>
        <v>90.2988590785908</v>
      </c>
      <c r="AC53" s="344">
        <f>Z53/AH53*100000</f>
        <v>800.3374864848159</v>
      </c>
      <c r="AD53" s="343">
        <f>SUM(AD54:AD57)</f>
        <v>208</v>
      </c>
      <c r="AE53" s="343">
        <f>SUM(AE54:AE57)</f>
        <v>266</v>
      </c>
      <c r="AF53" s="343">
        <f>SUM(AF54:AF57)</f>
        <v>93</v>
      </c>
      <c r="AG53" s="343">
        <f>SUM(AG54:AG57)</f>
        <v>97459.72</v>
      </c>
      <c r="AH53" s="343">
        <f>'[23]保安防衛'!S28</f>
        <v>461055.5</v>
      </c>
    </row>
    <row r="54" spans="2:34" ht="27.75" customHeight="1">
      <c r="B54" s="82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258" t="s">
        <v>1025</v>
      </c>
      <c r="N54" s="343">
        <f>SUM('[17]保安防衛'!C$29:C$31)</f>
        <v>1517</v>
      </c>
      <c r="O54" s="343">
        <f>SUM('[17]保安防衛'!D29:D31)</f>
        <v>1282.0198</v>
      </c>
      <c r="P54" s="344">
        <f>O54/N54*100</f>
        <v>84.51020435069215</v>
      </c>
      <c r="Q54" s="344">
        <f t="shared" si="25"/>
        <v>328.56548784502627</v>
      </c>
      <c r="R54" s="343">
        <f>SUM('[17]保安防衛'!G$29:G$31)</f>
        <v>18</v>
      </c>
      <c r="S54" s="343">
        <f>SUM('[17]保安防衛'!H$29:H$31)</f>
        <v>18</v>
      </c>
      <c r="T54" s="344">
        <f>S54/R54*100</f>
        <v>100</v>
      </c>
      <c r="U54" s="344">
        <f t="shared" si="26"/>
        <v>3.8986017015230536</v>
      </c>
      <c r="V54" s="343">
        <f>SUM('[17]保安防衛'!K$29:K$31)</f>
        <v>543</v>
      </c>
      <c r="W54" s="343">
        <f>SUM('[17]保安防衛'!L$29:L$31)</f>
        <v>407</v>
      </c>
      <c r="X54" s="344">
        <f>W54/V54*100</f>
        <v>74.95395948434623</v>
      </c>
      <c r="Y54" s="344">
        <f>V54/AH54*100000</f>
        <v>117.60781799594545</v>
      </c>
      <c r="Z54" s="343">
        <f>SUM('[17]保安防衛'!O$29:O$31)</f>
        <v>956</v>
      </c>
      <c r="AA54" s="343">
        <f>SUM('[17]保安防衛'!P$29:P$31)</f>
        <v>857.0198</v>
      </c>
      <c r="AB54" s="344">
        <f>AA54/Z54*100</f>
        <v>89.64642259414227</v>
      </c>
      <c r="AC54" s="344">
        <f>Z54/AH54*100000</f>
        <v>207.05906814755775</v>
      </c>
      <c r="AD54" s="343">
        <f>5+11+12</f>
        <v>28</v>
      </c>
      <c r="AE54" s="343">
        <f>5+27+21</f>
        <v>53</v>
      </c>
      <c r="AF54" s="343">
        <f>12+6+1</f>
        <v>19</v>
      </c>
      <c r="AG54" s="343">
        <f>22059.86+6719+214.9</f>
        <v>28993.760000000002</v>
      </c>
      <c r="AH54" s="343">
        <f>('[12]土地人口概況'!F116+'[17]土地人口概況'!F120)/2</f>
        <v>461704</v>
      </c>
    </row>
    <row r="55" spans="2:34" ht="27.75" customHeight="1">
      <c r="B55" s="82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258" t="s">
        <v>1026</v>
      </c>
      <c r="N55" s="343">
        <f>SUM('[18]保安防衛'!C$32:C$34)</f>
        <v>1439</v>
      </c>
      <c r="O55" s="343">
        <f>SUM('[18]保安防衛'!D32:D34)</f>
        <v>1125.0081</v>
      </c>
      <c r="P55" s="344">
        <f>O55/N55*100</f>
        <v>78.17985406532314</v>
      </c>
      <c r="Q55" s="344">
        <f t="shared" si="25"/>
        <v>312.01653969537733</v>
      </c>
      <c r="R55" s="343">
        <f>SUM('[18]保安防衛'!G$32:G$34)</f>
        <v>10</v>
      </c>
      <c r="S55" s="343">
        <f>SUM('[18]保安防衛'!H$32:H$34)</f>
        <v>10</v>
      </c>
      <c r="T55" s="344">
        <f>S55/R55*100</f>
        <v>100</v>
      </c>
      <c r="U55" s="344">
        <f t="shared" si="26"/>
        <v>2.168287280718397</v>
      </c>
      <c r="V55" s="343">
        <f>SUM('[18]保安防衛'!K$32:K$34)</f>
        <v>487</v>
      </c>
      <c r="W55" s="343">
        <f>SUM('[18]保安防衛'!L$32:L$34)</f>
        <v>253</v>
      </c>
      <c r="X55" s="344">
        <f>W55/V55*100</f>
        <v>51.95071868583162</v>
      </c>
      <c r="Y55" s="344">
        <f>V55/AH55*100000</f>
        <v>105.59559057098592</v>
      </c>
      <c r="Z55" s="343">
        <f>SUM('[18]保安防衛'!O$32:O$34)</f>
        <v>942</v>
      </c>
      <c r="AA55" s="343">
        <f>SUM('[18]保安防衛'!P$32:P$34)</f>
        <v>862.0081</v>
      </c>
      <c r="AB55" s="344">
        <f>AA55/Z55*100</f>
        <v>91.50829087048832</v>
      </c>
      <c r="AC55" s="344">
        <f>Z55/AH55*100000</f>
        <v>204.252661843673</v>
      </c>
      <c r="AD55" s="343">
        <f>9</f>
        <v>9</v>
      </c>
      <c r="AE55" s="343">
        <f>31</f>
        <v>31</v>
      </c>
      <c r="AF55" s="343">
        <v>38</v>
      </c>
      <c r="AG55" s="343">
        <f>2920.66+4204.61+23381.8</f>
        <v>30507.07</v>
      </c>
      <c r="AH55" s="343">
        <f>('[15]土地人口概況'!F120+'[18]土地人口概況'!F123)/2</f>
        <v>461193.5</v>
      </c>
    </row>
    <row r="56" spans="2:34" ht="27.75" customHeight="1">
      <c r="B56" s="82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258" t="s">
        <v>1027</v>
      </c>
      <c r="N56" s="343">
        <f>SUM('[20]保安防衛'!C$35:C$37)</f>
        <v>1451</v>
      </c>
      <c r="O56" s="343">
        <f>SUM('[20]保安防衛'!D$35:D$37)</f>
        <v>1108</v>
      </c>
      <c r="P56" s="344">
        <f>O56/N56*100</f>
        <v>76.36113025499655</v>
      </c>
      <c r="Q56" s="344">
        <f t="shared" si="25"/>
        <v>314.99550083959</v>
      </c>
      <c r="R56" s="343">
        <f>SUM('[20]保安防衛'!G$35:G$37)</f>
        <v>19</v>
      </c>
      <c r="S56" s="343">
        <f>SUM('[20]保安防衛'!H$35:H$37)</f>
        <v>18</v>
      </c>
      <c r="T56" s="344">
        <f>S56/R56*100</f>
        <v>94.73684210526315</v>
      </c>
      <c r="U56" s="344">
        <f t="shared" si="26"/>
        <v>4.124682643661068</v>
      </c>
      <c r="V56" s="343">
        <f>SUM('[20]保安防衛'!K$35:K$37)</f>
        <v>496</v>
      </c>
      <c r="W56" s="343">
        <f>SUM('[20]保安防衛'!L$35:L$37)</f>
        <v>267</v>
      </c>
      <c r="X56" s="344">
        <f>W56/V56*100</f>
        <v>53.83064516129033</v>
      </c>
      <c r="Y56" s="344">
        <f>V56/AH56*100000</f>
        <v>107.67592585557315</v>
      </c>
      <c r="Z56" s="343">
        <f>SUM('[20]保安防衛'!O$35:O$37)</f>
        <v>936</v>
      </c>
      <c r="AA56" s="343">
        <f>SUM('[20]保安防衛'!P$35:P$37)</f>
        <v>823</v>
      </c>
      <c r="AB56" s="344">
        <f>AA56/Z56*100</f>
        <v>87.92735042735043</v>
      </c>
      <c r="AC56" s="344">
        <f>Z56/AH56*100000</f>
        <v>203.1948923403558</v>
      </c>
      <c r="AD56" s="343">
        <v>134</v>
      </c>
      <c r="AE56" s="343">
        <v>139</v>
      </c>
      <c r="AF56" s="343">
        <f>4+4+14</f>
        <v>22</v>
      </c>
      <c r="AG56" s="343">
        <f>2060+3216+27262</f>
        <v>32538</v>
      </c>
      <c r="AH56" s="343">
        <f>('[18]土地人口概況'!F123+'[20]土地人口概況'!F126)/2</f>
        <v>460641.5</v>
      </c>
    </row>
    <row r="57" spans="2:34" ht="27.75" customHeight="1" thickBot="1">
      <c r="B57" s="82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258" t="s">
        <v>1106</v>
      </c>
      <c r="N57" s="343">
        <f>SUM('[23]保安防衛'!C$38:C$40)</f>
        <v>1251</v>
      </c>
      <c r="O57" s="343">
        <f>SUM('[23]保安防衛'!D$38:D$40)</f>
        <v>1061</v>
      </c>
      <c r="P57" s="344">
        <f>O57/N57*100</f>
        <v>84.81215027977618</v>
      </c>
      <c r="Q57" s="344">
        <f>N57/AH57*100000</f>
        <v>271.612577551253</v>
      </c>
      <c r="R57" s="343">
        <f>SUM('[23]保安防衛'!G$38:G$40)</f>
        <v>16</v>
      </c>
      <c r="S57" s="343">
        <f>SUM('[23]保安防衛'!H$38:H$40)</f>
        <v>16</v>
      </c>
      <c r="T57" s="344">
        <f>S57/R57*100</f>
        <v>100</v>
      </c>
      <c r="U57" s="344">
        <f>R57/AH57*100000</f>
        <v>3.473861903133532</v>
      </c>
      <c r="V57" s="343">
        <f>SUM('[23]保安防衛'!K$38:K$40)</f>
        <v>379</v>
      </c>
      <c r="W57" s="343">
        <f>SUM('[23]保安防衛'!L$38:L$40)</f>
        <v>255</v>
      </c>
      <c r="X57" s="344">
        <f>W57/V57*100</f>
        <v>67.28232189973615</v>
      </c>
      <c r="Y57" s="344">
        <f>V57/AH57*100000</f>
        <v>82.28710383047554</v>
      </c>
      <c r="Z57" s="343">
        <f>SUM('[23]保安防衛'!O$38:O$40)</f>
        <v>856</v>
      </c>
      <c r="AA57" s="343">
        <f>SUM('[23]保安防衛'!P$38:P$40)</f>
        <v>790</v>
      </c>
      <c r="AB57" s="344">
        <f>AA57/Z57*100</f>
        <v>92.28971962616822</v>
      </c>
      <c r="AC57" s="344">
        <f>Z57/AH57*100000</f>
        <v>185.85161181764397</v>
      </c>
      <c r="AD57" s="343">
        <v>37</v>
      </c>
      <c r="AE57" s="343">
        <v>43</v>
      </c>
      <c r="AF57" s="343">
        <f>5+2+7</f>
        <v>14</v>
      </c>
      <c r="AG57" s="343">
        <f>4750+0+670.89</f>
        <v>5420.89</v>
      </c>
      <c r="AH57" s="343">
        <f>('[20]土地人口概況'!F126+'[23]土地人口概況'!F129)/2</f>
        <v>460582.5</v>
      </c>
    </row>
    <row r="58" spans="2:34" ht="27.75" customHeight="1" thickBot="1">
      <c r="B58" s="82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1161" t="s">
        <v>1264</v>
      </c>
      <c r="N58" s="1154">
        <f>(N57-N56)/N56*100</f>
        <v>-13.783597518952448</v>
      </c>
      <c r="O58" s="1155">
        <f>(O57-O56)/O56*100</f>
        <v>-4.241877256317689</v>
      </c>
      <c r="P58" s="339" t="s">
        <v>1265</v>
      </c>
      <c r="Q58" s="339" t="s">
        <v>1266</v>
      </c>
      <c r="R58" s="1151">
        <f>(R57-R56)/R56*100</f>
        <v>-15.789473684210526</v>
      </c>
      <c r="S58" s="1151">
        <f>(S57-S56)/S56*100</f>
        <v>-11.11111111111111</v>
      </c>
      <c r="T58" s="339" t="s">
        <v>1265</v>
      </c>
      <c r="U58" s="339" t="s">
        <v>1266</v>
      </c>
      <c r="V58" s="1151">
        <f>(V57-V56)/V56*100</f>
        <v>-23.588709677419356</v>
      </c>
      <c r="W58" s="1151">
        <f>(W57-W56)/W56*100</f>
        <v>-4.49438202247191</v>
      </c>
      <c r="X58" s="339" t="s">
        <v>1265</v>
      </c>
      <c r="Y58" s="339" t="s">
        <v>1266</v>
      </c>
      <c r="Z58" s="1151">
        <f>(Z57-Z56)/Z56*100</f>
        <v>-8.547008547008547</v>
      </c>
      <c r="AA58" s="1151">
        <f>(AA57-AA56)/AA56*100</f>
        <v>-4.0097205346294045</v>
      </c>
      <c r="AB58" s="339" t="s">
        <v>1265</v>
      </c>
      <c r="AC58" s="339" t="s">
        <v>1266</v>
      </c>
      <c r="AD58" s="1151">
        <f>(AD57-AD56)/AD56*100</f>
        <v>-72.38805970149254</v>
      </c>
      <c r="AE58" s="1151">
        <f>(AE57-AE56)/AE56*100</f>
        <v>-69.06474820143885</v>
      </c>
      <c r="AF58" s="1151">
        <f>(AF57-AF56)/AF56*100</f>
        <v>-36.36363636363637</v>
      </c>
      <c r="AG58" s="1151">
        <f>(AG57-AG56)/AG56*100</f>
        <v>-83.339818058885</v>
      </c>
      <c r="AH58" s="1151">
        <f>(AH57-AH56)/AH56*100</f>
        <v>-0.012808225051368582</v>
      </c>
    </row>
    <row r="59" spans="2:34" ht="27.75" customHeight="1" thickBot="1">
      <c r="B59" s="82"/>
      <c r="C59" s="1157"/>
      <c r="D59" s="1157"/>
      <c r="E59" s="1157"/>
      <c r="F59" s="1157"/>
      <c r="G59" s="1157"/>
      <c r="H59" s="1157"/>
      <c r="I59" s="1157"/>
      <c r="J59" s="1157"/>
      <c r="K59" s="1157"/>
      <c r="L59" s="515"/>
      <c r="M59" s="1162"/>
      <c r="N59" s="1154"/>
      <c r="O59" s="1156"/>
      <c r="P59" s="302">
        <f>ROUND(P57,2)-ROUND(P56,2)</f>
        <v>8.450000000000003</v>
      </c>
      <c r="Q59" s="302">
        <f>ROUND(Q57,2)-ROUND(Q56,2)</f>
        <v>-43.389999999999986</v>
      </c>
      <c r="R59" s="1151"/>
      <c r="S59" s="1151"/>
      <c r="T59" s="302">
        <f>ROUND(T57,2)-ROUND(T56,2)</f>
        <v>5.260000000000005</v>
      </c>
      <c r="U59" s="302">
        <f>ROUND(U57,2)-ROUND(U56,2)</f>
        <v>-0.6499999999999999</v>
      </c>
      <c r="V59" s="1151"/>
      <c r="W59" s="1151"/>
      <c r="X59" s="302">
        <f>ROUND(X57,2)-ROUND(X56,2)</f>
        <v>13.450000000000003</v>
      </c>
      <c r="Y59" s="302">
        <f>ROUND(Y57,2)-ROUND(Y56,2)</f>
        <v>-25.39</v>
      </c>
      <c r="Z59" s="1151"/>
      <c r="AA59" s="1151"/>
      <c r="AB59" s="302">
        <f>ROUND(AB57,2)-ROUND(AB56,2)</f>
        <v>4.359999999999999</v>
      </c>
      <c r="AC59" s="302">
        <f>ROUND(AC57,2)-ROUND(AC56,2)</f>
        <v>-17.340000000000003</v>
      </c>
      <c r="AD59" s="1151"/>
      <c r="AE59" s="1151"/>
      <c r="AF59" s="1151"/>
      <c r="AG59" s="1151"/>
      <c r="AH59" s="1151"/>
    </row>
    <row r="60" spans="2:34" ht="27.75" customHeight="1" thickBot="1">
      <c r="B60" s="82"/>
      <c r="C60" s="1157"/>
      <c r="D60" s="1157"/>
      <c r="E60" s="1157"/>
      <c r="F60" s="1157"/>
      <c r="G60" s="1157"/>
      <c r="H60" s="1157"/>
      <c r="I60" s="1157"/>
      <c r="J60" s="1157"/>
      <c r="K60" s="1157"/>
      <c r="L60" s="515"/>
      <c r="M60" s="1160" t="s">
        <v>1267</v>
      </c>
      <c r="N60" s="1163">
        <f>(N57-N52)/N52*100</f>
        <v>-2.948021722265322</v>
      </c>
      <c r="O60" s="1164">
        <f>(O57-O52)/O52*100</f>
        <v>6.847935548841893</v>
      </c>
      <c r="P60" s="340" t="s">
        <v>1265</v>
      </c>
      <c r="Q60" s="340" t="s">
        <v>1266</v>
      </c>
      <c r="R60" s="1150">
        <f>(R57-R52)/R52*100</f>
        <v>14.285714285714285</v>
      </c>
      <c r="S60" s="1150">
        <f>(S57-S52)/S52*100</f>
        <v>45.45454545454545</v>
      </c>
      <c r="T60" s="340" t="s">
        <v>1265</v>
      </c>
      <c r="U60" s="340" t="s">
        <v>1266</v>
      </c>
      <c r="V60" s="1150">
        <f>(V57-V52)/V52*100</f>
        <v>-19.017094017094017</v>
      </c>
      <c r="W60" s="1150">
        <f>(W57-W52)/W52*100</f>
        <v>4.938271604938271</v>
      </c>
      <c r="X60" s="340" t="s">
        <v>1265</v>
      </c>
      <c r="Y60" s="340" t="s">
        <v>1266</v>
      </c>
      <c r="Z60" s="1150">
        <f>(Z57-Z52)/Z52*100</f>
        <v>6.071871127633209</v>
      </c>
      <c r="AA60" s="1150">
        <f>(AA57-AA52)/AA52*100</f>
        <v>6.901217861975644</v>
      </c>
      <c r="AB60" s="340" t="s">
        <v>1265</v>
      </c>
      <c r="AC60" s="340" t="s">
        <v>1266</v>
      </c>
      <c r="AD60" s="1153">
        <f>(AD57-AD52)/AD52*100</f>
        <v>0</v>
      </c>
      <c r="AE60" s="1150">
        <f>(AE57-AE52)/AE52*100</f>
        <v>-30.64516129032258</v>
      </c>
      <c r="AF60" s="1150">
        <f>(AF57-AF52)/AF52*100</f>
        <v>-53.333333333333336</v>
      </c>
      <c r="AG60" s="1150">
        <f>(AG57-AG52)/AG52*100</f>
        <v>-90.91384656643369</v>
      </c>
      <c r="AH60" s="1150">
        <f>(AH57-AH52)/AH52*100</f>
        <v>-0.18020692913522346</v>
      </c>
    </row>
    <row r="61" spans="2:34" ht="27.75" customHeight="1" thickBot="1">
      <c r="B61" s="99"/>
      <c r="C61" s="516"/>
      <c r="D61" s="516"/>
      <c r="E61" s="517"/>
      <c r="F61" s="517"/>
      <c r="G61" s="516"/>
      <c r="H61" s="516"/>
      <c r="I61" s="517"/>
      <c r="J61" s="517"/>
      <c r="K61" s="518"/>
      <c r="L61" s="518"/>
      <c r="M61" s="940"/>
      <c r="N61" s="1163"/>
      <c r="O61" s="1165"/>
      <c r="P61" s="346">
        <f>ROUND(P57,2)-ROUND(P52,2)</f>
        <v>7.769999999999996</v>
      </c>
      <c r="Q61" s="346">
        <f>ROUND(Q57,2)-ROUND(Q52,2)</f>
        <v>-7.75</v>
      </c>
      <c r="R61" s="1150"/>
      <c r="S61" s="1150"/>
      <c r="T61" s="346">
        <f>ROUND(T57,2)-ROUND(T52,2)</f>
        <v>21.430000000000007</v>
      </c>
      <c r="U61" s="346">
        <f>ROUND(U57,2)-ROUND(U52,2)</f>
        <v>0.4400000000000004</v>
      </c>
      <c r="V61" s="1150"/>
      <c r="W61" s="1150"/>
      <c r="X61" s="346">
        <f>ROUND(X57,2)-ROUND(X52,2)</f>
        <v>15.36</v>
      </c>
      <c r="Y61" s="346">
        <f>ROUND(Y57,2)-ROUND(Y52,2)</f>
        <v>-19.14</v>
      </c>
      <c r="Z61" s="1150"/>
      <c r="AA61" s="1150"/>
      <c r="AB61" s="346">
        <f>ROUND(AB57,2)-ROUND(AB52,2)</f>
        <v>0.7200000000000131</v>
      </c>
      <c r="AC61" s="346">
        <f>ROUND(AC57,2)-ROUND(AC52,2)</f>
        <v>10.949999999999989</v>
      </c>
      <c r="AD61" s="1153"/>
      <c r="AE61" s="1150"/>
      <c r="AF61" s="1150"/>
      <c r="AG61" s="1150"/>
      <c r="AH61" s="1150"/>
    </row>
    <row r="62" spans="13:34" ht="22.5" customHeight="1">
      <c r="M62" s="341" t="s">
        <v>365</v>
      </c>
      <c r="N62" s="519"/>
      <c r="O62" s="519"/>
      <c r="P62" s="520"/>
      <c r="Q62" s="520"/>
      <c r="R62" s="519"/>
      <c r="S62" s="427"/>
      <c r="T62" s="440"/>
      <c r="U62" s="440"/>
      <c r="V62" s="426"/>
      <c r="W62" s="426"/>
      <c r="X62" s="445"/>
      <c r="Y62" s="445"/>
      <c r="Z62" s="480"/>
      <c r="AA62" s="480"/>
      <c r="AB62" s="445"/>
      <c r="AC62" s="445"/>
      <c r="AD62" s="426"/>
      <c r="AE62" s="426"/>
      <c r="AF62" s="426"/>
      <c r="AG62" s="426"/>
      <c r="AH62" s="521"/>
    </row>
    <row r="63" spans="2:24" ht="18.75" customHeight="1">
      <c r="B63" s="899"/>
      <c r="C63" s="899"/>
      <c r="D63" s="899"/>
      <c r="E63" s="899"/>
      <c r="F63" s="899"/>
      <c r="G63" s="899"/>
      <c r="H63" s="899"/>
      <c r="I63" s="899"/>
      <c r="J63" s="899"/>
      <c r="K63" s="899"/>
      <c r="L63" s="37"/>
      <c r="M63" s="994" t="s">
        <v>1268</v>
      </c>
      <c r="N63" s="995"/>
      <c r="O63" s="995"/>
      <c r="P63" s="995"/>
      <c r="Q63" s="995"/>
      <c r="R63" s="995"/>
      <c r="S63" s="3"/>
      <c r="X63" s="3"/>
    </row>
    <row r="64" spans="2:34" s="147" customFormat="1" ht="42" customHeight="1">
      <c r="B64" s="937" t="s">
        <v>1277</v>
      </c>
      <c r="C64" s="937"/>
      <c r="D64" s="937"/>
      <c r="E64" s="937"/>
      <c r="F64" s="937"/>
      <c r="G64" s="937"/>
      <c r="H64" s="937"/>
      <c r="I64" s="937"/>
      <c r="J64" s="937"/>
      <c r="K64" s="937"/>
      <c r="L64" s="265"/>
      <c r="M64" s="1152" t="s">
        <v>1278</v>
      </c>
      <c r="N64" s="1152"/>
      <c r="O64" s="1152"/>
      <c r="P64" s="1152"/>
      <c r="Q64" s="1152"/>
      <c r="R64" s="1152"/>
      <c r="S64" s="1152"/>
      <c r="T64" s="1152"/>
      <c r="U64" s="1152"/>
      <c r="V64" s="1152"/>
      <c r="W64" s="1152"/>
      <c r="X64" s="996" t="s">
        <v>1279</v>
      </c>
      <c r="Y64" s="996"/>
      <c r="Z64" s="996"/>
      <c r="AA64" s="996"/>
      <c r="AB64" s="996"/>
      <c r="AC64" s="996"/>
      <c r="AD64" s="996"/>
      <c r="AE64" s="996"/>
      <c r="AF64" s="996"/>
      <c r="AG64" s="996"/>
      <c r="AH64" s="996"/>
    </row>
    <row r="65" spans="3:23" ht="24.75" customHeight="1">
      <c r="C65" s="427"/>
      <c r="D65" s="427"/>
      <c r="G65" s="427"/>
      <c r="H65" s="427"/>
      <c r="K65" s="427"/>
      <c r="L65" s="427"/>
      <c r="M65" s="427"/>
      <c r="T65" s="427"/>
      <c r="U65" s="427"/>
      <c r="V65" s="427"/>
      <c r="W65" s="427"/>
    </row>
    <row r="66" spans="3:23" ht="24.75" customHeight="1">
      <c r="C66" s="427"/>
      <c r="D66" s="427"/>
      <c r="G66" s="427"/>
      <c r="H66" s="427"/>
      <c r="K66" s="427"/>
      <c r="L66" s="427"/>
      <c r="M66" s="427"/>
      <c r="T66" s="427"/>
      <c r="U66" s="427"/>
      <c r="V66" s="427"/>
      <c r="W66" s="427"/>
    </row>
    <row r="67" spans="3:23" ht="24.75" customHeight="1">
      <c r="C67" s="427"/>
      <c r="D67" s="427"/>
      <c r="G67" s="427"/>
      <c r="H67" s="427"/>
      <c r="K67" s="427"/>
      <c r="L67" s="427"/>
      <c r="M67" s="427"/>
      <c r="N67" s="34"/>
      <c r="T67" s="427"/>
      <c r="U67" s="427"/>
      <c r="V67" s="427"/>
      <c r="W67" s="427"/>
    </row>
    <row r="68" spans="3:23" ht="24.75" customHeight="1">
      <c r="C68" s="427"/>
      <c r="D68" s="427"/>
      <c r="G68" s="427"/>
      <c r="H68" s="427"/>
      <c r="K68" s="427"/>
      <c r="L68" s="427"/>
      <c r="M68" s="20" t="s">
        <v>214</v>
      </c>
      <c r="N68" s="34">
        <v>1641.0558268330565</v>
      </c>
      <c r="P68" s="522" t="s">
        <v>1269</v>
      </c>
      <c r="Q68" s="522" t="s">
        <v>1270</v>
      </c>
      <c r="R68" s="522" t="s">
        <v>1271</v>
      </c>
      <c r="T68" s="427"/>
      <c r="U68" s="427"/>
      <c r="V68" s="427"/>
      <c r="W68" s="427"/>
    </row>
    <row r="69" spans="3:23" ht="24.75" customHeight="1">
      <c r="C69" s="427"/>
      <c r="D69" s="427"/>
      <c r="G69" s="427"/>
      <c r="H69" s="427"/>
      <c r="K69" s="427"/>
      <c r="L69" s="427"/>
      <c r="M69" s="20" t="s">
        <v>232</v>
      </c>
      <c r="N69" s="34">
        <v>1580.59</v>
      </c>
      <c r="P69" s="49">
        <v>1251</v>
      </c>
      <c r="Q69" s="49">
        <v>37</v>
      </c>
      <c r="R69" s="49">
        <v>14</v>
      </c>
      <c r="T69" s="427"/>
      <c r="U69" s="427"/>
      <c r="V69" s="427"/>
      <c r="W69" s="427"/>
    </row>
    <row r="70" spans="3:23" ht="24.75" customHeight="1">
      <c r="C70" s="427"/>
      <c r="D70" s="427"/>
      <c r="G70" s="427"/>
      <c r="H70" s="427"/>
      <c r="K70" s="427"/>
      <c r="L70" s="427"/>
      <c r="M70" s="20" t="s">
        <v>233</v>
      </c>
      <c r="N70" s="34">
        <v>1566.54</v>
      </c>
      <c r="T70" s="427"/>
      <c r="U70" s="427"/>
      <c r="V70" s="427"/>
      <c r="W70" s="294"/>
    </row>
    <row r="71" spans="3:23" ht="24.75" customHeight="1">
      <c r="C71" s="427"/>
      <c r="D71" s="427"/>
      <c r="G71" s="427"/>
      <c r="H71" s="427"/>
      <c r="K71" s="427"/>
      <c r="L71" s="427"/>
      <c r="M71" s="20" t="s">
        <v>234</v>
      </c>
      <c r="N71" s="34">
        <v>1581.08</v>
      </c>
      <c r="T71" s="427"/>
      <c r="U71" s="427"/>
      <c r="V71" s="427"/>
      <c r="W71" s="427"/>
    </row>
    <row r="72" spans="3:23" ht="24.75" customHeight="1">
      <c r="C72" s="427"/>
      <c r="D72" s="427"/>
      <c r="G72" s="427"/>
      <c r="H72" s="427"/>
      <c r="K72" s="427"/>
      <c r="L72" s="427"/>
      <c r="M72" s="35" t="s">
        <v>235</v>
      </c>
      <c r="N72" s="34">
        <v>1782.93</v>
      </c>
      <c r="T72" s="427"/>
      <c r="U72" s="427"/>
      <c r="V72" s="427"/>
      <c r="W72" s="427"/>
    </row>
    <row r="73" spans="3:23" ht="24.75" customHeight="1">
      <c r="C73" s="427"/>
      <c r="D73" s="427"/>
      <c r="G73" s="427"/>
      <c r="H73" s="427"/>
      <c r="K73" s="427"/>
      <c r="L73" s="427"/>
      <c r="M73" s="35" t="s">
        <v>236</v>
      </c>
      <c r="N73" s="34">
        <v>1671.78</v>
      </c>
      <c r="T73" s="427"/>
      <c r="U73" s="427"/>
      <c r="V73" s="427"/>
      <c r="W73" s="427"/>
    </row>
    <row r="74" spans="3:23" ht="24.75" customHeight="1">
      <c r="C74" s="427"/>
      <c r="D74" s="427"/>
      <c r="G74" s="427"/>
      <c r="H74" s="427"/>
      <c r="K74" s="427"/>
      <c r="L74" s="427"/>
      <c r="M74" s="35" t="s">
        <v>1321</v>
      </c>
      <c r="N74" s="34">
        <v>1637.66</v>
      </c>
      <c r="T74" s="427"/>
      <c r="U74" s="427"/>
      <c r="V74" s="427"/>
      <c r="W74" s="427"/>
    </row>
    <row r="75" spans="3:23" ht="24.75" customHeight="1">
      <c r="C75" s="427"/>
      <c r="D75" s="427"/>
      <c r="G75" s="427"/>
      <c r="H75" s="427"/>
      <c r="K75" s="427"/>
      <c r="L75" s="427"/>
      <c r="M75" s="35" t="s">
        <v>1323</v>
      </c>
      <c r="N75" s="34">
        <v>1542.17</v>
      </c>
      <c r="T75" s="427"/>
      <c r="U75" s="427"/>
      <c r="V75" s="427"/>
      <c r="W75" s="427"/>
    </row>
    <row r="76" spans="3:23" ht="24.75" customHeight="1">
      <c r="C76" s="427"/>
      <c r="D76" s="427"/>
      <c r="G76" s="427"/>
      <c r="H76" s="427"/>
      <c r="K76" s="427"/>
      <c r="L76" s="427"/>
      <c r="M76" s="35" t="s">
        <v>1200</v>
      </c>
      <c r="N76" s="34">
        <v>1312.48</v>
      </c>
      <c r="T76" s="427"/>
      <c r="U76" s="427"/>
      <c r="V76" s="427"/>
      <c r="W76" s="427"/>
    </row>
    <row r="77" spans="3:23" ht="24.75" customHeight="1">
      <c r="C77" s="427"/>
      <c r="D77" s="427"/>
      <c r="G77" s="427"/>
      <c r="H77" s="427"/>
      <c r="K77" s="427"/>
      <c r="L77" s="427"/>
      <c r="M77" s="35" t="s">
        <v>237</v>
      </c>
      <c r="N77" s="34">
        <v>1227.1841459433842</v>
      </c>
      <c r="T77" s="427"/>
      <c r="U77" s="427"/>
      <c r="V77" s="427"/>
      <c r="W77" s="427"/>
    </row>
    <row r="78" spans="3:23" ht="24.75" customHeight="1">
      <c r="C78" s="427"/>
      <c r="D78" s="427"/>
      <c r="G78" s="427"/>
      <c r="H78" s="427"/>
      <c r="K78" s="427"/>
      <c r="L78" s="427"/>
      <c r="M78" s="427"/>
      <c r="T78" s="427"/>
      <c r="U78" s="427"/>
      <c r="V78" s="427"/>
      <c r="W78" s="427"/>
    </row>
    <row r="79" spans="3:23" ht="24.75" customHeight="1">
      <c r="C79" s="427"/>
      <c r="D79" s="427"/>
      <c r="G79" s="427"/>
      <c r="H79" s="427"/>
      <c r="K79" s="427"/>
      <c r="L79" s="427"/>
      <c r="M79" s="427"/>
      <c r="T79" s="427"/>
      <c r="U79" s="427"/>
      <c r="V79" s="427"/>
      <c r="W79" s="427"/>
    </row>
    <row r="80" spans="3:23" ht="24.75" customHeight="1">
      <c r="C80" s="427"/>
      <c r="D80" s="427"/>
      <c r="G80" s="427"/>
      <c r="H80" s="427"/>
      <c r="K80" s="427"/>
      <c r="L80" s="427"/>
      <c r="M80" s="427"/>
      <c r="T80" s="427"/>
      <c r="U80" s="427"/>
      <c r="V80" s="427"/>
      <c r="W80" s="427"/>
    </row>
    <row r="81" spans="3:23" ht="24.75" customHeight="1">
      <c r="C81" s="427"/>
      <c r="D81" s="427"/>
      <c r="G81" s="427"/>
      <c r="H81" s="427"/>
      <c r="K81" s="427"/>
      <c r="L81" s="427"/>
      <c r="M81" s="427"/>
      <c r="T81" s="427"/>
      <c r="U81" s="427"/>
      <c r="V81" s="427"/>
      <c r="W81" s="427"/>
    </row>
    <row r="82" spans="3:23" ht="24.75" customHeight="1">
      <c r="C82" s="427"/>
      <c r="D82" s="427"/>
      <c r="G82" s="427"/>
      <c r="H82" s="427"/>
      <c r="K82" s="427"/>
      <c r="L82" s="427"/>
      <c r="M82" s="427"/>
      <c r="T82" s="427"/>
      <c r="U82" s="427"/>
      <c r="V82" s="427"/>
      <c r="W82" s="427"/>
    </row>
    <row r="83" spans="3:23" ht="24.75" customHeight="1">
      <c r="C83" s="427"/>
      <c r="D83" s="427"/>
      <c r="G83" s="427"/>
      <c r="H83" s="427"/>
      <c r="K83" s="427"/>
      <c r="L83" s="427"/>
      <c r="M83" s="427"/>
      <c r="T83" s="427"/>
      <c r="U83" s="427"/>
      <c r="V83" s="427"/>
      <c r="W83" s="427"/>
    </row>
    <row r="84" spans="3:23" ht="24.75" customHeight="1">
      <c r="C84" s="427"/>
      <c r="D84" s="427"/>
      <c r="G84" s="427"/>
      <c r="H84" s="427"/>
      <c r="K84" s="427"/>
      <c r="L84" s="427"/>
      <c r="M84" s="427"/>
      <c r="T84" s="427"/>
      <c r="U84" s="427"/>
      <c r="V84" s="427"/>
      <c r="W84" s="427"/>
    </row>
    <row r="85" spans="13:23" ht="24.75" customHeight="1">
      <c r="M85" s="427"/>
      <c r="T85" s="427"/>
      <c r="U85" s="427"/>
      <c r="V85" s="427"/>
      <c r="W85" s="427"/>
    </row>
    <row r="237" ht="24.75" customHeight="1"/>
  </sheetData>
  <mergeCells count="60">
    <mergeCell ref="A1:L1"/>
    <mergeCell ref="AD3:AE3"/>
    <mergeCell ref="AD4:AE4"/>
    <mergeCell ref="M3:M6"/>
    <mergeCell ref="B2:K4"/>
    <mergeCell ref="M1:W1"/>
    <mergeCell ref="R4:U4"/>
    <mergeCell ref="AF4:AG4"/>
    <mergeCell ref="V4:W4"/>
    <mergeCell ref="X4:Y4"/>
    <mergeCell ref="X1:AH1"/>
    <mergeCell ref="AF3:AG3"/>
    <mergeCell ref="N3:W3"/>
    <mergeCell ref="N4:Q4"/>
    <mergeCell ref="X3:AC3"/>
    <mergeCell ref="Z4:AC4"/>
    <mergeCell ref="AH3:AH4"/>
    <mergeCell ref="AH5:AH6"/>
    <mergeCell ref="I59:I60"/>
    <mergeCell ref="M60:M61"/>
    <mergeCell ref="S58:S59"/>
    <mergeCell ref="M58:M59"/>
    <mergeCell ref="R60:R61"/>
    <mergeCell ref="J59:J60"/>
    <mergeCell ref="N60:N61"/>
    <mergeCell ref="O60:O61"/>
    <mergeCell ref="K59:K60"/>
    <mergeCell ref="H59:H60"/>
    <mergeCell ref="C59:C60"/>
    <mergeCell ref="E59:E60"/>
    <mergeCell ref="D59:D60"/>
    <mergeCell ref="G59:G60"/>
    <mergeCell ref="F59:F60"/>
    <mergeCell ref="N58:N59"/>
    <mergeCell ref="O58:O59"/>
    <mergeCell ref="R58:R59"/>
    <mergeCell ref="S60:S61"/>
    <mergeCell ref="AF60:AF61"/>
    <mergeCell ref="AE58:AE59"/>
    <mergeCell ref="AD60:AD61"/>
    <mergeCell ref="AE60:AE61"/>
    <mergeCell ref="V60:V61"/>
    <mergeCell ref="V58:V59"/>
    <mergeCell ref="W58:W59"/>
    <mergeCell ref="W60:W61"/>
    <mergeCell ref="B63:K63"/>
    <mergeCell ref="M64:W64"/>
    <mergeCell ref="X64:AH64"/>
    <mergeCell ref="M63:R63"/>
    <mergeCell ref="B64:K64"/>
    <mergeCell ref="AH60:AH61"/>
    <mergeCell ref="AF58:AF59"/>
    <mergeCell ref="Z58:Z59"/>
    <mergeCell ref="AA58:AA59"/>
    <mergeCell ref="AG58:AG59"/>
    <mergeCell ref="AD58:AD59"/>
    <mergeCell ref="Z60:Z61"/>
    <mergeCell ref="AG60:AG61"/>
    <mergeCell ref="AA60:AA61"/>
    <mergeCell ref="AH58:AH59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97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90"/>
  <sheetViews>
    <sheetView zoomScaleSheetLayoutView="100" workbookViewId="0" topLeftCell="G1">
      <selection activeCell="B1" sqref="B1:N1"/>
    </sheetView>
  </sheetViews>
  <sheetFormatPr defaultColWidth="9.00390625" defaultRowHeight="24.75" customHeight="1"/>
  <cols>
    <col min="1" max="1" width="2.625" style="266" customWidth="1"/>
    <col min="2" max="2" width="10.875" style="3" customWidth="1"/>
    <col min="3" max="4" width="9.50390625" style="266" customWidth="1"/>
    <col min="5" max="5" width="5.375" style="266" customWidth="1"/>
    <col min="6" max="6" width="5.625" style="266" customWidth="1"/>
    <col min="7" max="7" width="5.75390625" style="266" customWidth="1"/>
    <col min="8" max="8" width="5.25390625" style="266" customWidth="1"/>
    <col min="9" max="9" width="5.625" style="266" customWidth="1"/>
    <col min="10" max="10" width="5.875" style="266" customWidth="1"/>
    <col min="11" max="12" width="6.125" style="266" customWidth="1"/>
    <col min="13" max="13" width="5.25390625" style="266" customWidth="1"/>
    <col min="14" max="14" width="6.375" style="266" customWidth="1"/>
    <col min="15" max="15" width="2.625" style="266" customWidth="1"/>
    <col min="16" max="16" width="9.125" style="266" customWidth="1"/>
    <col min="17" max="17" width="7.25390625" style="266" customWidth="1"/>
    <col min="18" max="18" width="7.00390625" style="439" customWidth="1"/>
    <col min="19" max="19" width="6.75390625" style="266" customWidth="1"/>
    <col min="20" max="20" width="7.00390625" style="266" customWidth="1"/>
    <col min="21" max="21" width="6.75390625" style="266" customWidth="1"/>
    <col min="22" max="27" width="7.00390625" style="266" customWidth="1"/>
    <col min="28" max="28" width="7.50390625" style="266" customWidth="1"/>
    <col min="29" max="29" width="2.625" style="266" customWidth="1"/>
    <col min="30" max="30" width="9.00390625" style="266" customWidth="1"/>
    <col min="31" max="31" width="11.625" style="266" customWidth="1"/>
    <col min="32" max="32" width="16.125" style="266" bestFit="1" customWidth="1"/>
    <col min="33" max="33" width="9.00390625" style="266" customWidth="1"/>
    <col min="34" max="35" width="13.625" style="266" bestFit="1" customWidth="1"/>
    <col min="36" max="36" width="13.25390625" style="266" customWidth="1"/>
    <col min="37" max="37" width="13.25390625" style="266" bestFit="1" customWidth="1"/>
    <col min="38" max="16384" width="9.00390625" style="266" customWidth="1"/>
  </cols>
  <sheetData>
    <row r="1" spans="2:28" ht="49.5" customHeight="1">
      <c r="B1" s="869" t="s">
        <v>1375</v>
      </c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177"/>
      <c r="P1" s="3"/>
      <c r="R1" s="949" t="s">
        <v>389</v>
      </c>
      <c r="S1" s="950"/>
      <c r="T1" s="950"/>
      <c r="U1" s="950"/>
      <c r="V1" s="950"/>
      <c r="W1" s="950"/>
      <c r="X1" s="950"/>
      <c r="Y1" s="950"/>
      <c r="AA1" s="1204"/>
      <c r="AB1" s="1205"/>
    </row>
    <row r="2" spans="2:28" ht="30" customHeight="1" thickBot="1">
      <c r="B2" s="1193" t="s">
        <v>240</v>
      </c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  <c r="O2" s="177"/>
      <c r="P2" s="3"/>
      <c r="R2" s="404"/>
      <c r="S2" s="405"/>
      <c r="T2" s="405"/>
      <c r="U2" s="405"/>
      <c r="V2" s="405"/>
      <c r="W2" s="405"/>
      <c r="X2" s="405"/>
      <c r="Y2" s="405"/>
      <c r="Z2" s="504"/>
      <c r="AA2" s="1215" t="s">
        <v>398</v>
      </c>
      <c r="AB2" s="1216"/>
    </row>
    <row r="3" spans="2:28" ht="20.25" customHeight="1"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487"/>
      <c r="P3" s="951" t="s">
        <v>10</v>
      </c>
      <c r="Q3" s="1201" t="s">
        <v>399</v>
      </c>
      <c r="R3" s="1197" t="s">
        <v>400</v>
      </c>
      <c r="S3" s="1212" t="s">
        <v>401</v>
      </c>
      <c r="T3" s="1213"/>
      <c r="U3" s="1213"/>
      <c r="V3" s="1213"/>
      <c r="W3" s="1213"/>
      <c r="X3" s="1213"/>
      <c r="Y3" s="1213"/>
      <c r="Z3" s="1213"/>
      <c r="AA3" s="1214"/>
      <c r="AB3" s="1206" t="s">
        <v>402</v>
      </c>
    </row>
    <row r="4" spans="2:28" ht="30.75" customHeight="1"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487"/>
      <c r="P4" s="952"/>
      <c r="Q4" s="1202"/>
      <c r="R4" s="1198"/>
      <c r="S4" s="1194" t="s">
        <v>405</v>
      </c>
      <c r="T4" s="1195"/>
      <c r="U4" s="1211" t="s">
        <v>406</v>
      </c>
      <c r="V4" s="1195"/>
      <c r="W4" s="1211" t="s">
        <v>407</v>
      </c>
      <c r="X4" s="1195"/>
      <c r="Y4" s="1211" t="s">
        <v>408</v>
      </c>
      <c r="Z4" s="1195"/>
      <c r="AA4" s="1209" t="s">
        <v>409</v>
      </c>
      <c r="AB4" s="1207"/>
    </row>
    <row r="5" spans="2:28" ht="48" customHeight="1" thickBot="1"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1200"/>
      <c r="Q5" s="1203"/>
      <c r="R5" s="1199"/>
      <c r="S5" s="509" t="s">
        <v>403</v>
      </c>
      <c r="T5" s="46" t="s">
        <v>404</v>
      </c>
      <c r="U5" s="46" t="s">
        <v>403</v>
      </c>
      <c r="V5" s="46" t="s">
        <v>404</v>
      </c>
      <c r="W5" s="46" t="s">
        <v>403</v>
      </c>
      <c r="X5" s="46" t="s">
        <v>404</v>
      </c>
      <c r="Y5" s="46" t="s">
        <v>403</v>
      </c>
      <c r="Z5" s="46" t="s">
        <v>404</v>
      </c>
      <c r="AA5" s="1210"/>
      <c r="AB5" s="1208"/>
    </row>
    <row r="6" spans="2:35" ht="24.75" customHeight="1" hidden="1"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1" t="s">
        <v>1013</v>
      </c>
      <c r="Q6" s="433">
        <f>SUM(S6:AB6)</f>
        <v>295829</v>
      </c>
      <c r="R6" s="394">
        <f>SUM(S6:AA6)</f>
        <v>88383</v>
      </c>
      <c r="S6" s="90">
        <v>20</v>
      </c>
      <c r="T6" s="90">
        <v>286</v>
      </c>
      <c r="U6" s="90">
        <v>1844</v>
      </c>
      <c r="V6" s="90">
        <v>2140</v>
      </c>
      <c r="W6" s="90">
        <v>69547</v>
      </c>
      <c r="X6" s="90">
        <v>1140</v>
      </c>
      <c r="Y6" s="90">
        <v>12575</v>
      </c>
      <c r="Z6" s="90">
        <v>13</v>
      </c>
      <c r="AA6" s="90">
        <v>818</v>
      </c>
      <c r="AB6" s="90">
        <v>207446</v>
      </c>
      <c r="AG6" s="43" t="s">
        <v>390</v>
      </c>
      <c r="AH6" s="436">
        <v>109741</v>
      </c>
      <c r="AI6" s="436">
        <v>247163</v>
      </c>
    </row>
    <row r="7" spans="2:28" ht="24.75" customHeight="1" hidden="1"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8"/>
      <c r="P7" s="22" t="s">
        <v>1014</v>
      </c>
      <c r="Q7" s="396">
        <f>SUM(S7:AB7)</f>
        <v>314674</v>
      </c>
      <c r="R7" s="394">
        <f>SUM(S7:AA7)</f>
        <v>94367</v>
      </c>
      <c r="S7" s="90">
        <v>19</v>
      </c>
      <c r="T7" s="90">
        <v>240</v>
      </c>
      <c r="U7" s="90">
        <v>1903</v>
      </c>
      <c r="V7" s="90">
        <v>1955</v>
      </c>
      <c r="W7" s="90">
        <v>74917</v>
      </c>
      <c r="X7" s="90">
        <v>1151</v>
      </c>
      <c r="Y7" s="90">
        <v>13333</v>
      </c>
      <c r="Z7" s="90">
        <v>7</v>
      </c>
      <c r="AA7" s="90">
        <v>842</v>
      </c>
      <c r="AB7" s="90">
        <v>220307</v>
      </c>
    </row>
    <row r="8" spans="16:28" ht="24.75" customHeight="1" hidden="1">
      <c r="P8" s="117"/>
      <c r="Q8" s="434"/>
      <c r="R8" s="435"/>
      <c r="S8" s="436"/>
      <c r="T8" s="436"/>
      <c r="U8" s="436"/>
      <c r="V8" s="436"/>
      <c r="W8" s="436"/>
      <c r="X8" s="436"/>
      <c r="Y8" s="436"/>
      <c r="Z8" s="436"/>
      <c r="AA8" s="436"/>
      <c r="AB8" s="436"/>
    </row>
    <row r="9" spans="16:28" ht="24.75" customHeight="1" hidden="1">
      <c r="P9" s="17" t="s">
        <v>983</v>
      </c>
      <c r="Q9" s="396">
        <f>SUM(S9:AB9)</f>
        <v>332425</v>
      </c>
      <c r="R9" s="394">
        <f>SUM(S9:AA9)</f>
        <v>100495</v>
      </c>
      <c r="S9" s="90">
        <v>21</v>
      </c>
      <c r="T9" s="90">
        <v>88</v>
      </c>
      <c r="U9" s="90">
        <v>1969</v>
      </c>
      <c r="V9" s="90">
        <v>2000</v>
      </c>
      <c r="W9" s="90">
        <v>80108</v>
      </c>
      <c r="X9" s="90">
        <v>1108</v>
      </c>
      <c r="Y9" s="90">
        <v>14311</v>
      </c>
      <c r="Z9" s="90">
        <v>19</v>
      </c>
      <c r="AA9" s="90">
        <v>871</v>
      </c>
      <c r="AB9" s="90">
        <v>231930</v>
      </c>
    </row>
    <row r="10" spans="16:28" ht="24.75" customHeight="1" hidden="1">
      <c r="P10" s="17" t="s">
        <v>984</v>
      </c>
      <c r="Q10" s="396">
        <v>339763</v>
      </c>
      <c r="R10" s="394">
        <v>103033</v>
      </c>
      <c r="S10" s="90">
        <v>18</v>
      </c>
      <c r="T10" s="90">
        <v>102</v>
      </c>
      <c r="U10" s="90">
        <v>1923</v>
      </c>
      <c r="V10" s="90">
        <v>1991</v>
      </c>
      <c r="W10" s="90">
        <v>82679</v>
      </c>
      <c r="X10" s="90">
        <v>1077</v>
      </c>
      <c r="Y10" s="90">
        <v>14342</v>
      </c>
      <c r="Z10" s="90">
        <v>12</v>
      </c>
      <c r="AA10" s="90">
        <v>889</v>
      </c>
      <c r="AB10" s="90">
        <v>236730</v>
      </c>
    </row>
    <row r="11" spans="16:28" ht="27.75" customHeight="1" hidden="1">
      <c r="P11" s="320" t="s">
        <v>1015</v>
      </c>
      <c r="Q11" s="326">
        <v>348663</v>
      </c>
      <c r="R11" s="437">
        <v>106695</v>
      </c>
      <c r="S11" s="327">
        <v>17</v>
      </c>
      <c r="T11" s="327">
        <v>104</v>
      </c>
      <c r="U11" s="327">
        <v>1941</v>
      </c>
      <c r="V11" s="327">
        <v>1985</v>
      </c>
      <c r="W11" s="327">
        <v>86244</v>
      </c>
      <c r="X11" s="327">
        <v>1059</v>
      </c>
      <c r="Y11" s="327">
        <v>14420</v>
      </c>
      <c r="Z11" s="327">
        <v>11</v>
      </c>
      <c r="AA11" s="327">
        <v>914</v>
      </c>
      <c r="AB11" s="327">
        <v>241968</v>
      </c>
    </row>
    <row r="12" spans="16:28" ht="27.75" customHeight="1">
      <c r="P12" s="320" t="s">
        <v>1016</v>
      </c>
      <c r="Q12" s="326">
        <v>356904</v>
      </c>
      <c r="R12" s="437">
        <v>109741</v>
      </c>
      <c r="S12" s="327">
        <v>16</v>
      </c>
      <c r="T12" s="327">
        <v>111</v>
      </c>
      <c r="U12" s="327">
        <v>1893</v>
      </c>
      <c r="V12" s="327">
        <v>1949</v>
      </c>
      <c r="W12" s="327">
        <v>88973</v>
      </c>
      <c r="X12" s="327">
        <v>1005</v>
      </c>
      <c r="Y12" s="327">
        <v>14726</v>
      </c>
      <c r="Z12" s="327">
        <v>8</v>
      </c>
      <c r="AA12" s="327">
        <v>1060</v>
      </c>
      <c r="AB12" s="327">
        <v>247163</v>
      </c>
    </row>
    <row r="13" spans="16:28" ht="27.75" customHeight="1">
      <c r="P13" s="320" t="s">
        <v>1017</v>
      </c>
      <c r="Q13" s="326">
        <v>362009</v>
      </c>
      <c r="R13" s="437">
        <v>111693</v>
      </c>
      <c r="S13" s="327">
        <v>17</v>
      </c>
      <c r="T13" s="327">
        <v>116</v>
      </c>
      <c r="U13" s="327">
        <v>1928</v>
      </c>
      <c r="V13" s="327">
        <v>1957</v>
      </c>
      <c r="W13" s="327">
        <v>90618</v>
      </c>
      <c r="X13" s="327">
        <v>961</v>
      </c>
      <c r="Y13" s="327">
        <v>15037</v>
      </c>
      <c r="Z13" s="327">
        <v>9</v>
      </c>
      <c r="AA13" s="327">
        <v>1050</v>
      </c>
      <c r="AB13" s="327">
        <v>250316</v>
      </c>
    </row>
    <row r="14" spans="16:28" ht="27.75" customHeight="1">
      <c r="P14" s="112" t="s">
        <v>1018</v>
      </c>
      <c r="Q14" s="326">
        <v>369117</v>
      </c>
      <c r="R14" s="437">
        <v>116802</v>
      </c>
      <c r="S14" s="327">
        <v>21</v>
      </c>
      <c r="T14" s="327">
        <v>106</v>
      </c>
      <c r="U14" s="327">
        <v>1971</v>
      </c>
      <c r="V14" s="327">
        <v>1991</v>
      </c>
      <c r="W14" s="327">
        <v>94368</v>
      </c>
      <c r="X14" s="327">
        <v>886</v>
      </c>
      <c r="Y14" s="327">
        <v>15653</v>
      </c>
      <c r="Z14" s="327">
        <v>7</v>
      </c>
      <c r="AA14" s="327">
        <v>1079</v>
      </c>
      <c r="AB14" s="327">
        <v>253035</v>
      </c>
    </row>
    <row r="15" spans="16:28" ht="27.75" customHeight="1">
      <c r="P15" s="320" t="s">
        <v>1019</v>
      </c>
      <c r="Q15" s="326">
        <v>378520</v>
      </c>
      <c r="R15" s="437">
        <v>119269</v>
      </c>
      <c r="S15" s="327">
        <v>21</v>
      </c>
      <c r="T15" s="327">
        <v>109</v>
      </c>
      <c r="U15" s="327">
        <v>2039</v>
      </c>
      <c r="V15" s="327">
        <v>2041</v>
      </c>
      <c r="W15" s="327">
        <v>96981</v>
      </c>
      <c r="X15" s="327">
        <v>866</v>
      </c>
      <c r="Y15" s="327">
        <v>16102</v>
      </c>
      <c r="Z15" s="327">
        <v>11</v>
      </c>
      <c r="AA15" s="327">
        <v>1099</v>
      </c>
      <c r="AB15" s="327">
        <v>259251</v>
      </c>
    </row>
    <row r="16" spans="16:31" ht="24.75" customHeight="1" hidden="1">
      <c r="P16" s="318" t="s">
        <v>1020</v>
      </c>
      <c r="Q16" s="326">
        <f>SUM(S16:AB16)</f>
        <v>370944</v>
      </c>
      <c r="R16" s="437">
        <f>SUM(S16:AA16)</f>
        <v>116849</v>
      </c>
      <c r="S16" s="327">
        <v>20</v>
      </c>
      <c r="T16" s="327">
        <v>107</v>
      </c>
      <c r="U16" s="327">
        <v>1975</v>
      </c>
      <c r="V16" s="327">
        <v>2009</v>
      </c>
      <c r="W16" s="327">
        <v>95013</v>
      </c>
      <c r="X16" s="327">
        <v>884</v>
      </c>
      <c r="Y16" s="327">
        <v>15763</v>
      </c>
      <c r="Z16" s="327">
        <v>10</v>
      </c>
      <c r="AA16" s="327">
        <v>1068</v>
      </c>
      <c r="AB16" s="327">
        <v>254095</v>
      </c>
      <c r="AD16" s="8" t="s">
        <v>391</v>
      </c>
      <c r="AE16" s="266">
        <v>103</v>
      </c>
    </row>
    <row r="17" spans="16:28" ht="24.75" customHeight="1" hidden="1">
      <c r="P17" s="318" t="s">
        <v>1021</v>
      </c>
      <c r="Q17" s="322">
        <v>372826</v>
      </c>
      <c r="R17" s="437">
        <f>SUM(S17:AA17)</f>
        <v>117662</v>
      </c>
      <c r="S17" s="327">
        <v>20</v>
      </c>
      <c r="T17" s="327">
        <v>104</v>
      </c>
      <c r="U17" s="327">
        <v>2019</v>
      </c>
      <c r="V17" s="327">
        <v>2020</v>
      </c>
      <c r="W17" s="327">
        <v>95571</v>
      </c>
      <c r="X17" s="327">
        <v>887</v>
      </c>
      <c r="Y17" s="327">
        <v>15959</v>
      </c>
      <c r="Z17" s="327">
        <v>9</v>
      </c>
      <c r="AA17" s="327">
        <v>1073</v>
      </c>
      <c r="AB17" s="327">
        <v>255164</v>
      </c>
    </row>
    <row r="18" spans="16:28" ht="24.75" customHeight="1" hidden="1">
      <c r="P18" s="318" t="s">
        <v>1022</v>
      </c>
      <c r="Q18" s="322">
        <v>376633</v>
      </c>
      <c r="R18" s="437">
        <f>SUM(S18:AA18)</f>
        <v>118627</v>
      </c>
      <c r="S18" s="327">
        <v>21</v>
      </c>
      <c r="T18" s="327">
        <v>109</v>
      </c>
      <c r="U18" s="327">
        <v>2031</v>
      </c>
      <c r="V18" s="327">
        <v>2035</v>
      </c>
      <c r="W18" s="327">
        <v>96429</v>
      </c>
      <c r="X18" s="327">
        <v>875</v>
      </c>
      <c r="Y18" s="327">
        <v>16039</v>
      </c>
      <c r="Z18" s="327">
        <v>11</v>
      </c>
      <c r="AA18" s="327">
        <v>1077</v>
      </c>
      <c r="AB18" s="327">
        <v>258006</v>
      </c>
    </row>
    <row r="19" spans="16:28" ht="24.75" customHeight="1" hidden="1">
      <c r="P19" s="318" t="s">
        <v>1023</v>
      </c>
      <c r="Q19" s="322">
        <v>378520</v>
      </c>
      <c r="R19" s="437">
        <f>SUM(S19:AA19)</f>
        <v>119269</v>
      </c>
      <c r="S19" s="327">
        <v>21</v>
      </c>
      <c r="T19" s="327">
        <v>109</v>
      </c>
      <c r="U19" s="327">
        <v>2039</v>
      </c>
      <c r="V19" s="327">
        <v>2041</v>
      </c>
      <c r="W19" s="327">
        <v>96981</v>
      </c>
      <c r="X19" s="327">
        <v>866</v>
      </c>
      <c r="Y19" s="327">
        <v>16102</v>
      </c>
      <c r="Z19" s="327">
        <v>11</v>
      </c>
      <c r="AA19" s="327">
        <v>1099</v>
      </c>
      <c r="AB19" s="327">
        <v>259251</v>
      </c>
    </row>
    <row r="20" spans="16:28" ht="27.75" customHeight="1">
      <c r="P20" s="320" t="s">
        <v>1024</v>
      </c>
      <c r="Q20" s="326">
        <v>388870</v>
      </c>
      <c r="R20" s="437">
        <v>123389</v>
      </c>
      <c r="S20" s="327">
        <v>17</v>
      </c>
      <c r="T20" s="327">
        <v>110</v>
      </c>
      <c r="U20" s="327">
        <v>2105</v>
      </c>
      <c r="V20" s="327">
        <v>2097</v>
      </c>
      <c r="W20" s="327">
        <v>100298</v>
      </c>
      <c r="X20" s="327">
        <v>1088</v>
      </c>
      <c r="Y20" s="327">
        <v>16553</v>
      </c>
      <c r="Z20" s="327">
        <v>11</v>
      </c>
      <c r="AA20" s="327">
        <v>1110</v>
      </c>
      <c r="AB20" s="327">
        <v>265481</v>
      </c>
    </row>
    <row r="21" spans="16:28" ht="24.75" customHeight="1" hidden="1">
      <c r="P21" s="318" t="s">
        <v>1025</v>
      </c>
      <c r="Q21" s="326">
        <f aca="true" t="shared" si="0" ref="Q21:Q29">R21+AB21</f>
        <v>380523</v>
      </c>
      <c r="R21" s="437">
        <f>SUM(S21:AA21)</f>
        <v>120216</v>
      </c>
      <c r="S21" s="327">
        <v>20</v>
      </c>
      <c r="T21" s="327">
        <v>114</v>
      </c>
      <c r="U21" s="327">
        <v>2050</v>
      </c>
      <c r="V21" s="327">
        <v>2072</v>
      </c>
      <c r="W21" s="327">
        <v>97826</v>
      </c>
      <c r="X21" s="327">
        <v>853</v>
      </c>
      <c r="Y21" s="327">
        <v>16192</v>
      </c>
      <c r="Z21" s="327">
        <v>11</v>
      </c>
      <c r="AA21" s="327">
        <v>1078</v>
      </c>
      <c r="AB21" s="327">
        <v>260307</v>
      </c>
    </row>
    <row r="22" spans="16:28" ht="24.75" customHeight="1" hidden="1">
      <c r="P22" s="318" t="s">
        <v>1026</v>
      </c>
      <c r="Q22" s="326">
        <f t="shared" si="0"/>
        <v>384021</v>
      </c>
      <c r="R22" s="437">
        <f>SUM(S22:AA22)</f>
        <v>121666</v>
      </c>
      <c r="S22" s="327">
        <v>20</v>
      </c>
      <c r="T22" s="327">
        <v>113</v>
      </c>
      <c r="U22" s="327">
        <v>2061</v>
      </c>
      <c r="V22" s="327">
        <v>2076</v>
      </c>
      <c r="W22" s="327">
        <v>99013</v>
      </c>
      <c r="X22" s="327">
        <v>849</v>
      </c>
      <c r="Y22" s="327">
        <v>16438</v>
      </c>
      <c r="Z22" s="327">
        <v>11</v>
      </c>
      <c r="AA22" s="327">
        <v>1085</v>
      </c>
      <c r="AB22" s="327">
        <v>262355</v>
      </c>
    </row>
    <row r="23" spans="16:28" ht="24.75" customHeight="1" hidden="1">
      <c r="P23" s="318" t="s">
        <v>1027</v>
      </c>
      <c r="Q23" s="326">
        <f t="shared" si="0"/>
        <v>387108</v>
      </c>
      <c r="R23" s="437">
        <f>SUM(S23:AA23)</f>
        <v>122223</v>
      </c>
      <c r="S23" s="327">
        <v>19</v>
      </c>
      <c r="T23" s="327">
        <v>109</v>
      </c>
      <c r="U23" s="327">
        <v>2080</v>
      </c>
      <c r="V23" s="327">
        <v>2095</v>
      </c>
      <c r="W23" s="327">
        <v>99200</v>
      </c>
      <c r="X23" s="327">
        <v>1126</v>
      </c>
      <c r="Y23" s="327">
        <v>16487</v>
      </c>
      <c r="Z23" s="327">
        <v>11</v>
      </c>
      <c r="AA23" s="327">
        <v>1096</v>
      </c>
      <c r="AB23" s="327">
        <v>264885</v>
      </c>
    </row>
    <row r="24" spans="16:28" ht="24.75" customHeight="1" hidden="1">
      <c r="P24" s="318" t="s">
        <v>1028</v>
      </c>
      <c r="Q24" s="326">
        <f t="shared" si="0"/>
        <v>388870</v>
      </c>
      <c r="R24" s="437">
        <f>SUM(S24:AA24)</f>
        <v>123389</v>
      </c>
      <c r="S24" s="327">
        <v>17</v>
      </c>
      <c r="T24" s="327">
        <v>110</v>
      </c>
      <c r="U24" s="327">
        <v>2105</v>
      </c>
      <c r="V24" s="327">
        <v>2097</v>
      </c>
      <c r="W24" s="327">
        <v>100298</v>
      </c>
      <c r="X24" s="327">
        <v>1088</v>
      </c>
      <c r="Y24" s="327">
        <v>16553</v>
      </c>
      <c r="Z24" s="327">
        <v>11</v>
      </c>
      <c r="AA24" s="327">
        <v>1110</v>
      </c>
      <c r="AB24" s="327">
        <v>265481</v>
      </c>
    </row>
    <row r="25" spans="16:28" ht="27.75" customHeight="1">
      <c r="P25" s="320" t="s">
        <v>1029</v>
      </c>
      <c r="Q25" s="326">
        <f t="shared" si="0"/>
        <v>399702</v>
      </c>
      <c r="R25" s="437">
        <v>128944</v>
      </c>
      <c r="S25" s="327">
        <v>20</v>
      </c>
      <c r="T25" s="327">
        <v>81</v>
      </c>
      <c r="U25" s="327">
        <v>2154</v>
      </c>
      <c r="V25" s="327">
        <v>2205</v>
      </c>
      <c r="W25" s="327">
        <v>105097</v>
      </c>
      <c r="X25" s="327">
        <v>1051</v>
      </c>
      <c r="Y25" s="327">
        <v>17223</v>
      </c>
      <c r="Z25" s="327">
        <v>17</v>
      </c>
      <c r="AA25" s="327">
        <v>1096</v>
      </c>
      <c r="AB25" s="327">
        <v>270758</v>
      </c>
    </row>
    <row r="26" spans="16:28" ht="24.75" customHeight="1" hidden="1">
      <c r="P26" s="318" t="s">
        <v>1025</v>
      </c>
      <c r="Q26" s="326">
        <f t="shared" si="0"/>
        <v>391840</v>
      </c>
      <c r="R26" s="437">
        <f>SUM(S26:AA26)</f>
        <v>125346</v>
      </c>
      <c r="S26" s="327">
        <v>19</v>
      </c>
      <c r="T26" s="327">
        <v>72</v>
      </c>
      <c r="U26" s="327">
        <v>2118</v>
      </c>
      <c r="V26" s="327">
        <v>2144</v>
      </c>
      <c r="W26" s="327">
        <v>102003</v>
      </c>
      <c r="X26" s="327">
        <v>1088</v>
      </c>
      <c r="Y26" s="327">
        <v>16780</v>
      </c>
      <c r="Z26" s="327">
        <v>11</v>
      </c>
      <c r="AA26" s="327">
        <v>1111</v>
      </c>
      <c r="AB26" s="327">
        <v>266494</v>
      </c>
    </row>
    <row r="27" spans="16:28" ht="24.75" customHeight="1" hidden="1">
      <c r="P27" s="318" t="s">
        <v>1026</v>
      </c>
      <c r="Q27" s="326">
        <f t="shared" si="0"/>
        <v>394694</v>
      </c>
      <c r="R27" s="437">
        <f>SUM(S27:AA27)</f>
        <v>126748</v>
      </c>
      <c r="S27" s="327">
        <v>20</v>
      </c>
      <c r="T27" s="327">
        <v>73</v>
      </c>
      <c r="U27" s="327">
        <v>2141</v>
      </c>
      <c r="V27" s="327">
        <v>2174</v>
      </c>
      <c r="W27" s="327">
        <v>103161</v>
      </c>
      <c r="X27" s="327">
        <v>1087</v>
      </c>
      <c r="Y27" s="327">
        <v>16975</v>
      </c>
      <c r="Z27" s="327">
        <v>10</v>
      </c>
      <c r="AA27" s="327">
        <v>1107</v>
      </c>
      <c r="AB27" s="327">
        <v>267946</v>
      </c>
    </row>
    <row r="28" spans="16:28" ht="24.75" customHeight="1" hidden="1">
      <c r="P28" s="318" t="s">
        <v>1027</v>
      </c>
      <c r="Q28" s="326">
        <f t="shared" si="0"/>
        <v>398189</v>
      </c>
      <c r="R28" s="437">
        <f>SUM(S28:AA28)</f>
        <v>127878</v>
      </c>
      <c r="S28" s="327">
        <v>20</v>
      </c>
      <c r="T28" s="327">
        <v>82</v>
      </c>
      <c r="U28" s="327">
        <v>2162</v>
      </c>
      <c r="V28" s="327">
        <v>2184</v>
      </c>
      <c r="W28" s="327">
        <v>104110</v>
      </c>
      <c r="X28" s="327">
        <v>1076</v>
      </c>
      <c r="Y28" s="327">
        <v>17110</v>
      </c>
      <c r="Z28" s="327">
        <v>20</v>
      </c>
      <c r="AA28" s="327">
        <v>1114</v>
      </c>
      <c r="AB28" s="327">
        <v>270311</v>
      </c>
    </row>
    <row r="29" spans="16:28" ht="24.75" customHeight="1" hidden="1">
      <c r="P29" s="318" t="s">
        <v>1028</v>
      </c>
      <c r="Q29" s="326">
        <f t="shared" si="0"/>
        <v>399702</v>
      </c>
      <c r="R29" s="437">
        <f>SUM(S29:AA29)</f>
        <v>128944</v>
      </c>
      <c r="S29" s="327">
        <v>20</v>
      </c>
      <c r="T29" s="327">
        <v>81</v>
      </c>
      <c r="U29" s="327">
        <v>2154</v>
      </c>
      <c r="V29" s="327">
        <v>2205</v>
      </c>
      <c r="W29" s="327">
        <v>105097</v>
      </c>
      <c r="X29" s="327">
        <v>1051</v>
      </c>
      <c r="Y29" s="327">
        <v>17223</v>
      </c>
      <c r="Z29" s="327">
        <v>17</v>
      </c>
      <c r="AA29" s="327">
        <v>1096</v>
      </c>
      <c r="AB29" s="327">
        <v>270758</v>
      </c>
    </row>
    <row r="30" spans="16:28" ht="27.75" customHeight="1">
      <c r="P30" s="320" t="s">
        <v>1030</v>
      </c>
      <c r="Q30" s="326">
        <v>407191</v>
      </c>
      <c r="R30" s="437">
        <v>131905</v>
      </c>
      <c r="S30" s="437">
        <v>21</v>
      </c>
      <c r="T30" s="437">
        <v>82</v>
      </c>
      <c r="U30" s="437">
        <v>2207</v>
      </c>
      <c r="V30" s="437">
        <v>2370</v>
      </c>
      <c r="W30" s="437">
        <v>107350</v>
      </c>
      <c r="X30" s="437">
        <v>1024</v>
      </c>
      <c r="Y30" s="437">
        <v>17703</v>
      </c>
      <c r="Z30" s="437">
        <v>47</v>
      </c>
      <c r="AA30" s="437">
        <v>1101</v>
      </c>
      <c r="AB30" s="437">
        <v>275286</v>
      </c>
    </row>
    <row r="31" spans="16:28" ht="24.75" customHeight="1" hidden="1">
      <c r="P31" s="318" t="s">
        <v>1025</v>
      </c>
      <c r="Q31" s="326">
        <f>R31+AB31</f>
        <v>402114</v>
      </c>
      <c r="R31" s="437">
        <f>SUM(S31:AA31)</f>
        <v>130133</v>
      </c>
      <c r="S31" s="327">
        <v>20</v>
      </c>
      <c r="T31" s="327">
        <v>81</v>
      </c>
      <c r="U31" s="327">
        <v>2173</v>
      </c>
      <c r="V31" s="327">
        <v>2298</v>
      </c>
      <c r="W31" s="327">
        <v>106006</v>
      </c>
      <c r="X31" s="327">
        <v>1042</v>
      </c>
      <c r="Y31" s="327">
        <v>17387</v>
      </c>
      <c r="Z31" s="327">
        <v>32</v>
      </c>
      <c r="AA31" s="327">
        <v>1094</v>
      </c>
      <c r="AB31" s="327">
        <v>271981</v>
      </c>
    </row>
    <row r="32" spans="16:28" ht="24.75" customHeight="1" hidden="1">
      <c r="P32" s="318" t="s">
        <v>1026</v>
      </c>
      <c r="Q32" s="326">
        <v>403472</v>
      </c>
      <c r="R32" s="437">
        <f>SUM(S32:AA32)</f>
        <v>130671</v>
      </c>
      <c r="S32" s="327">
        <v>21</v>
      </c>
      <c r="T32" s="327">
        <v>86</v>
      </c>
      <c r="U32" s="327">
        <v>2163</v>
      </c>
      <c r="V32" s="327">
        <v>2353</v>
      </c>
      <c r="W32" s="327">
        <v>106397</v>
      </c>
      <c r="X32" s="327">
        <v>1036</v>
      </c>
      <c r="Y32" s="327">
        <v>17472</v>
      </c>
      <c r="Z32" s="327">
        <v>33</v>
      </c>
      <c r="AA32" s="327">
        <v>1110</v>
      </c>
      <c r="AB32" s="327">
        <v>272801</v>
      </c>
    </row>
    <row r="33" spans="16:28" ht="24.75" customHeight="1" hidden="1">
      <c r="P33" s="258" t="s">
        <v>1027</v>
      </c>
      <c r="Q33" s="327">
        <v>405919</v>
      </c>
      <c r="R33" s="437">
        <f>SUM(S33:AA33)</f>
        <v>131125</v>
      </c>
      <c r="S33" s="327">
        <v>21</v>
      </c>
      <c r="T33" s="327">
        <v>85</v>
      </c>
      <c r="U33" s="327">
        <v>2181</v>
      </c>
      <c r="V33" s="327">
        <v>2394</v>
      </c>
      <c r="W33" s="327">
        <v>106694</v>
      </c>
      <c r="X33" s="327">
        <v>1033</v>
      </c>
      <c r="Y33" s="327">
        <v>17582</v>
      </c>
      <c r="Z33" s="327">
        <v>33</v>
      </c>
      <c r="AA33" s="327">
        <v>1102</v>
      </c>
      <c r="AB33" s="327">
        <v>274794</v>
      </c>
    </row>
    <row r="34" spans="16:28" ht="24.75" customHeight="1" hidden="1">
      <c r="P34" s="258" t="s">
        <v>1028</v>
      </c>
      <c r="Q34" s="327">
        <v>407191</v>
      </c>
      <c r="R34" s="437">
        <f>SUM(S34:AA34)</f>
        <v>131905</v>
      </c>
      <c r="S34" s="327">
        <v>21</v>
      </c>
      <c r="T34" s="327">
        <v>82</v>
      </c>
      <c r="U34" s="327">
        <v>2207</v>
      </c>
      <c r="V34" s="327">
        <v>2370</v>
      </c>
      <c r="W34" s="327">
        <v>107350</v>
      </c>
      <c r="X34" s="327">
        <v>1024</v>
      </c>
      <c r="Y34" s="327">
        <v>17703</v>
      </c>
      <c r="Z34" s="327">
        <v>47</v>
      </c>
      <c r="AA34" s="327">
        <v>1101</v>
      </c>
      <c r="AB34" s="327">
        <v>275286</v>
      </c>
    </row>
    <row r="35" spans="16:28" ht="27.75" customHeight="1">
      <c r="P35" s="112" t="s">
        <v>1031</v>
      </c>
      <c r="Q35" s="327">
        <v>414464</v>
      </c>
      <c r="R35" s="327">
        <v>133358</v>
      </c>
      <c r="S35" s="327">
        <v>19</v>
      </c>
      <c r="T35" s="327">
        <v>118</v>
      </c>
      <c r="U35" s="327">
        <v>2159</v>
      </c>
      <c r="V35" s="327">
        <v>2296</v>
      </c>
      <c r="W35" s="327">
        <v>108688</v>
      </c>
      <c r="X35" s="327">
        <v>1088</v>
      </c>
      <c r="Y35" s="327">
        <v>17813</v>
      </c>
      <c r="Z35" s="327">
        <v>38</v>
      </c>
      <c r="AA35" s="327">
        <v>1139</v>
      </c>
      <c r="AB35" s="327">
        <v>281106</v>
      </c>
    </row>
    <row r="36" spans="16:28" ht="24.75" customHeight="1" hidden="1">
      <c r="P36" s="258" t="s">
        <v>1025</v>
      </c>
      <c r="Q36" s="327">
        <v>409001</v>
      </c>
      <c r="R36" s="437">
        <v>132751</v>
      </c>
      <c r="S36" s="437">
        <v>20</v>
      </c>
      <c r="T36" s="437">
        <v>84</v>
      </c>
      <c r="U36" s="327">
        <v>2214</v>
      </c>
      <c r="V36" s="327">
        <v>2372</v>
      </c>
      <c r="W36" s="327">
        <v>108074</v>
      </c>
      <c r="X36" s="327">
        <v>1056</v>
      </c>
      <c r="Y36" s="327">
        <v>17792</v>
      </c>
      <c r="Z36" s="327">
        <v>33</v>
      </c>
      <c r="AA36" s="327">
        <v>1106</v>
      </c>
      <c r="AB36" s="327">
        <v>276250</v>
      </c>
    </row>
    <row r="37" spans="16:28" ht="24.75" customHeight="1" hidden="1">
      <c r="P37" s="258" t="s">
        <v>1026</v>
      </c>
      <c r="Q37" s="327">
        <v>410144</v>
      </c>
      <c r="R37" s="437">
        <v>132941</v>
      </c>
      <c r="S37" s="437">
        <v>20</v>
      </c>
      <c r="T37" s="437">
        <v>87</v>
      </c>
      <c r="U37" s="327">
        <v>2203</v>
      </c>
      <c r="V37" s="327">
        <v>2350</v>
      </c>
      <c r="W37" s="327">
        <v>108250</v>
      </c>
      <c r="X37" s="327">
        <v>1066</v>
      </c>
      <c r="Y37" s="327">
        <v>17821</v>
      </c>
      <c r="Z37" s="327">
        <v>43</v>
      </c>
      <c r="AA37" s="327">
        <v>1101</v>
      </c>
      <c r="AB37" s="327">
        <v>277203</v>
      </c>
    </row>
    <row r="38" spans="16:28" ht="24.75" customHeight="1" hidden="1">
      <c r="P38" s="258" t="s">
        <v>1027</v>
      </c>
      <c r="Q38" s="437">
        <v>413263</v>
      </c>
      <c r="R38" s="437">
        <v>133041</v>
      </c>
      <c r="S38" s="437">
        <v>20</v>
      </c>
      <c r="T38" s="437">
        <v>90</v>
      </c>
      <c r="U38" s="437">
        <v>2176</v>
      </c>
      <c r="V38" s="437">
        <v>2310</v>
      </c>
      <c r="W38" s="437">
        <v>108372</v>
      </c>
      <c r="X38" s="437">
        <v>1075</v>
      </c>
      <c r="Y38" s="437">
        <v>17840</v>
      </c>
      <c r="Z38" s="437">
        <v>41</v>
      </c>
      <c r="AA38" s="437">
        <v>1117</v>
      </c>
      <c r="AB38" s="437">
        <v>280222</v>
      </c>
    </row>
    <row r="39" spans="16:29" ht="24.75" customHeight="1" hidden="1">
      <c r="P39" s="258" t="s">
        <v>1028</v>
      </c>
      <c r="Q39" s="327">
        <v>414464</v>
      </c>
      <c r="R39" s="327">
        <v>133358</v>
      </c>
      <c r="S39" s="327">
        <v>19</v>
      </c>
      <c r="T39" s="327">
        <v>118</v>
      </c>
      <c r="U39" s="327">
        <v>2159</v>
      </c>
      <c r="V39" s="327">
        <v>2296</v>
      </c>
      <c r="W39" s="327">
        <v>108688</v>
      </c>
      <c r="X39" s="327">
        <v>1088</v>
      </c>
      <c r="Y39" s="327">
        <v>17813</v>
      </c>
      <c r="Z39" s="327">
        <v>38</v>
      </c>
      <c r="AA39" s="327">
        <v>1139</v>
      </c>
      <c r="AB39" s="327">
        <v>281106</v>
      </c>
      <c r="AC39" s="500"/>
    </row>
    <row r="40" spans="16:28" ht="27.75" customHeight="1">
      <c r="P40" s="112" t="s">
        <v>1032</v>
      </c>
      <c r="Q40" s="327">
        <f>Q44</f>
        <v>421871</v>
      </c>
      <c r="R40" s="327">
        <f aca="true" t="shared" si="1" ref="R40:AB40">R44</f>
        <v>133662</v>
      </c>
      <c r="S40" s="327">
        <f t="shared" si="1"/>
        <v>23</v>
      </c>
      <c r="T40" s="327">
        <f t="shared" si="1"/>
        <v>140</v>
      </c>
      <c r="U40" s="327">
        <f t="shared" si="1"/>
        <v>2190</v>
      </c>
      <c r="V40" s="327">
        <f t="shared" si="1"/>
        <v>2211</v>
      </c>
      <c r="W40" s="327">
        <f t="shared" si="1"/>
        <v>108973</v>
      </c>
      <c r="X40" s="327">
        <f t="shared" si="1"/>
        <v>1122</v>
      </c>
      <c r="Y40" s="327">
        <f t="shared" si="1"/>
        <v>17817</v>
      </c>
      <c r="Z40" s="327">
        <f t="shared" si="1"/>
        <v>56</v>
      </c>
      <c r="AA40" s="327">
        <f t="shared" si="1"/>
        <v>1130</v>
      </c>
      <c r="AB40" s="327">
        <f t="shared" si="1"/>
        <v>288209</v>
      </c>
    </row>
    <row r="41" spans="16:28" s="480" customFormat="1" ht="28.5" customHeight="1" hidden="1">
      <c r="P41" s="258" t="s">
        <v>1025</v>
      </c>
      <c r="Q41" s="327">
        <v>416127</v>
      </c>
      <c r="R41" s="327">
        <v>133662</v>
      </c>
      <c r="S41" s="327">
        <v>19</v>
      </c>
      <c r="T41" s="327">
        <v>121</v>
      </c>
      <c r="U41" s="327">
        <v>2155</v>
      </c>
      <c r="V41" s="327">
        <v>2298</v>
      </c>
      <c r="W41" s="327">
        <v>108980</v>
      </c>
      <c r="X41" s="327">
        <v>1099</v>
      </c>
      <c r="Y41" s="327">
        <v>17803</v>
      </c>
      <c r="Z41" s="327">
        <v>49</v>
      </c>
      <c r="AA41" s="327">
        <v>1138</v>
      </c>
      <c r="AB41" s="327">
        <v>282465</v>
      </c>
    </row>
    <row r="42" spans="16:28" s="480" customFormat="1" ht="28.5" customHeight="1" hidden="1">
      <c r="P42" s="258" t="s">
        <v>1026</v>
      </c>
      <c r="Q42" s="327">
        <v>417885</v>
      </c>
      <c r="R42" s="327">
        <v>133326</v>
      </c>
      <c r="S42" s="327">
        <v>19</v>
      </c>
      <c r="T42" s="327">
        <v>122</v>
      </c>
      <c r="U42" s="327">
        <v>2163</v>
      </c>
      <c r="V42" s="327">
        <v>2240</v>
      </c>
      <c r="W42" s="327">
        <v>108706</v>
      </c>
      <c r="X42" s="327">
        <v>1101</v>
      </c>
      <c r="Y42" s="327">
        <v>17784</v>
      </c>
      <c r="Z42" s="327">
        <v>59</v>
      </c>
      <c r="AA42" s="327">
        <v>1132</v>
      </c>
      <c r="AB42" s="327">
        <v>284559</v>
      </c>
    </row>
    <row r="43" spans="16:28" s="480" customFormat="1" ht="27.75" customHeight="1" hidden="1">
      <c r="P43" s="258" t="s">
        <v>1027</v>
      </c>
      <c r="Q43" s="327">
        <v>419994</v>
      </c>
      <c r="R43" s="327">
        <v>133149</v>
      </c>
      <c r="S43" s="327">
        <v>19</v>
      </c>
      <c r="T43" s="327">
        <v>122</v>
      </c>
      <c r="U43" s="327">
        <v>2174</v>
      </c>
      <c r="V43" s="327">
        <v>2184</v>
      </c>
      <c r="W43" s="327">
        <v>108584</v>
      </c>
      <c r="X43" s="327">
        <v>1099</v>
      </c>
      <c r="Y43" s="327">
        <v>17789</v>
      </c>
      <c r="Z43" s="327">
        <v>56</v>
      </c>
      <c r="AA43" s="327">
        <v>1122</v>
      </c>
      <c r="AB43" s="327">
        <v>286845</v>
      </c>
    </row>
    <row r="44" spans="16:28" s="480" customFormat="1" ht="27.75" customHeight="1" hidden="1">
      <c r="P44" s="258" t="s">
        <v>112</v>
      </c>
      <c r="Q44" s="327">
        <v>421871</v>
      </c>
      <c r="R44" s="327">
        <v>133662</v>
      </c>
      <c r="S44" s="327">
        <v>23</v>
      </c>
      <c r="T44" s="327">
        <v>140</v>
      </c>
      <c r="U44" s="327">
        <v>2190</v>
      </c>
      <c r="V44" s="327">
        <v>2211</v>
      </c>
      <c r="W44" s="327">
        <v>108973</v>
      </c>
      <c r="X44" s="327">
        <v>1122</v>
      </c>
      <c r="Y44" s="327">
        <v>17817</v>
      </c>
      <c r="Z44" s="327">
        <v>56</v>
      </c>
      <c r="AA44" s="327">
        <v>1130</v>
      </c>
      <c r="AB44" s="327">
        <v>288209</v>
      </c>
    </row>
    <row r="45" spans="16:28" s="480" customFormat="1" ht="27.75" customHeight="1">
      <c r="P45" s="112" t="s">
        <v>1033</v>
      </c>
      <c r="Q45" s="327">
        <f>Q49</f>
        <v>428423</v>
      </c>
      <c r="R45" s="327">
        <f>R49</f>
        <v>135544</v>
      </c>
      <c r="S45" s="327">
        <f aca="true" t="shared" si="2" ref="S45:AB45">S49</f>
        <v>35</v>
      </c>
      <c r="T45" s="327">
        <f t="shared" si="2"/>
        <v>154</v>
      </c>
      <c r="U45" s="327">
        <f t="shared" si="2"/>
        <v>2270</v>
      </c>
      <c r="V45" s="327">
        <f t="shared" si="2"/>
        <v>2128</v>
      </c>
      <c r="W45" s="327">
        <f t="shared" si="2"/>
        <v>110637</v>
      </c>
      <c r="X45" s="327">
        <f t="shared" si="2"/>
        <v>1080</v>
      </c>
      <c r="Y45" s="327">
        <f t="shared" si="2"/>
        <v>18025</v>
      </c>
      <c r="Z45" s="327">
        <f t="shared" si="2"/>
        <v>78</v>
      </c>
      <c r="AA45" s="327">
        <f t="shared" si="2"/>
        <v>1137</v>
      </c>
      <c r="AB45" s="327">
        <f t="shared" si="2"/>
        <v>292879</v>
      </c>
    </row>
    <row r="46" spans="16:28" s="480" customFormat="1" ht="27.75" customHeight="1" hidden="1">
      <c r="P46" s="258" t="s">
        <v>1025</v>
      </c>
      <c r="Q46" s="327">
        <v>422895</v>
      </c>
      <c r="R46" s="327">
        <v>134214</v>
      </c>
      <c r="S46" s="327">
        <v>22</v>
      </c>
      <c r="T46" s="327">
        <v>142</v>
      </c>
      <c r="U46" s="327">
        <v>2229</v>
      </c>
      <c r="V46" s="327">
        <v>2241</v>
      </c>
      <c r="W46" s="327">
        <v>109415</v>
      </c>
      <c r="X46" s="327">
        <v>1120</v>
      </c>
      <c r="Y46" s="327">
        <v>17856</v>
      </c>
      <c r="Z46" s="327">
        <v>69</v>
      </c>
      <c r="AA46" s="327">
        <v>1120</v>
      </c>
      <c r="AB46" s="327">
        <v>288681</v>
      </c>
    </row>
    <row r="47" spans="16:28" s="480" customFormat="1" ht="27.75" customHeight="1" hidden="1">
      <c r="P47" s="258" t="s">
        <v>1026</v>
      </c>
      <c r="Q47" s="327">
        <v>423133</v>
      </c>
      <c r="R47" s="327">
        <v>134605</v>
      </c>
      <c r="S47" s="327">
        <v>22</v>
      </c>
      <c r="T47" s="327">
        <v>146</v>
      </c>
      <c r="U47" s="327">
        <v>2247</v>
      </c>
      <c r="V47" s="327">
        <v>2234</v>
      </c>
      <c r="W47" s="327">
        <v>109725</v>
      </c>
      <c r="X47" s="327">
        <v>1109</v>
      </c>
      <c r="Y47" s="327">
        <v>17936</v>
      </c>
      <c r="Z47" s="327">
        <v>50</v>
      </c>
      <c r="AA47" s="327">
        <v>1136</v>
      </c>
      <c r="AB47" s="327">
        <v>288528</v>
      </c>
    </row>
    <row r="48" spans="16:33" s="480" customFormat="1" ht="27.75" customHeight="1" hidden="1">
      <c r="P48" s="258" t="s">
        <v>1027</v>
      </c>
      <c r="Q48" s="327">
        <f>'[4]3-5(續)'!$C$13</f>
        <v>424902</v>
      </c>
      <c r="R48" s="327">
        <f>'[4]3-5(續)'!$D$13+'[4]3-5(續)'!$G$13+'[4]3-5(續)'!$J$13+'[4]3-5(續)'!$N$13+'[4]3-5(續)'!$Q$13</f>
        <v>134456</v>
      </c>
      <c r="S48" s="327">
        <f>'[4]3-5(續)'!$E$13</f>
        <v>23</v>
      </c>
      <c r="T48" s="327">
        <f>'[4]3-5(續)'!$F$13</f>
        <v>152</v>
      </c>
      <c r="U48" s="327">
        <f>'[4]3-5(續)'!$H$13</f>
        <v>2243</v>
      </c>
      <c r="V48" s="327">
        <f>'[4]3-5(續)'!$I$13</f>
        <v>2198</v>
      </c>
      <c r="W48" s="327">
        <f>'[4]3-5(續)'!$K$13</f>
        <v>109614</v>
      </c>
      <c r="X48" s="327">
        <f>'[4]3-5(續)'!$L$13</f>
        <v>1101</v>
      </c>
      <c r="Y48" s="327">
        <f>'[4]3-5(續)'!$O$13</f>
        <v>17931</v>
      </c>
      <c r="Z48" s="327">
        <f>'[4]3-5(續)'!$P$13</f>
        <v>56</v>
      </c>
      <c r="AA48" s="327">
        <f>'[4]3-5(續)'!$Q$13</f>
        <v>1138</v>
      </c>
      <c r="AB48" s="327">
        <f>'[4]3-5(續)'!$R$13</f>
        <v>290446</v>
      </c>
      <c r="AE48" s="8"/>
      <c r="AG48" s="501"/>
    </row>
    <row r="49" spans="16:28" s="480" customFormat="1" ht="27.75" customHeight="1">
      <c r="P49" s="258" t="s">
        <v>112</v>
      </c>
      <c r="Q49" s="327">
        <f>'[13]3-5(續)'!$C$13</f>
        <v>428423</v>
      </c>
      <c r="R49" s="327">
        <f>'[13]3-5(續)'!$D$13+'[13]3-5(續)'!$G$13+'[13]3-5(續)'!$J$13+'[13]3-5(續)'!$N$13+'[13]3-5(續)'!$Q$13</f>
        <v>135544</v>
      </c>
      <c r="S49" s="327">
        <f>'[13]3-5(續)'!$E$13</f>
        <v>35</v>
      </c>
      <c r="T49" s="327">
        <f>'[13]3-5(續)'!$F$13</f>
        <v>154</v>
      </c>
      <c r="U49" s="327">
        <f>'[13]3-5(續)'!$H$13</f>
        <v>2270</v>
      </c>
      <c r="V49" s="327">
        <f>'[13]3-5(續)'!$I$13</f>
        <v>2128</v>
      </c>
      <c r="W49" s="327">
        <f>'[13]3-5(續)'!$K$13</f>
        <v>110637</v>
      </c>
      <c r="X49" s="327">
        <f>'[13]3-5(續)'!$L$13</f>
        <v>1080</v>
      </c>
      <c r="Y49" s="327">
        <f>'[13]3-5(續)'!$O$13</f>
        <v>18025</v>
      </c>
      <c r="Z49" s="327">
        <f>'[13]3-5(續)'!$P$13</f>
        <v>78</v>
      </c>
      <c r="AA49" s="327">
        <f>'[13]3-5(續)'!$Q$13</f>
        <v>1137</v>
      </c>
      <c r="AB49" s="327">
        <f>'[13]3-5(續)'!$R$13</f>
        <v>292879</v>
      </c>
    </row>
    <row r="50" spans="16:28" s="480" customFormat="1" ht="27.75" customHeight="1">
      <c r="P50" s="112" t="s">
        <v>222</v>
      </c>
      <c r="Q50" s="327">
        <f>Q54</f>
        <v>432389</v>
      </c>
      <c r="R50" s="327">
        <f>R54</f>
        <v>137161</v>
      </c>
      <c r="S50" s="327">
        <f>S54</f>
        <v>35</v>
      </c>
      <c r="T50" s="327">
        <f aca="true" t="shared" si="3" ref="T50:AB50">T54</f>
        <v>173</v>
      </c>
      <c r="U50" s="327">
        <f t="shared" si="3"/>
        <v>2267</v>
      </c>
      <c r="V50" s="327">
        <f t="shared" si="3"/>
        <v>2016</v>
      </c>
      <c r="W50" s="327">
        <f t="shared" si="3"/>
        <v>112192</v>
      </c>
      <c r="X50" s="327">
        <f t="shared" si="3"/>
        <v>1071</v>
      </c>
      <c r="Y50" s="327">
        <f t="shared" si="3"/>
        <v>18234</v>
      </c>
      <c r="Z50" s="327">
        <f t="shared" si="3"/>
        <v>36</v>
      </c>
      <c r="AA50" s="327">
        <f t="shared" si="3"/>
        <v>1137</v>
      </c>
      <c r="AB50" s="327">
        <f t="shared" si="3"/>
        <v>295228</v>
      </c>
    </row>
    <row r="51" spans="16:28" s="480" customFormat="1" ht="27.75" customHeight="1">
      <c r="P51" s="258" t="s">
        <v>1025</v>
      </c>
      <c r="Q51" s="327">
        <f>'[16]3-5(續)'!$C$13</f>
        <v>427828</v>
      </c>
      <c r="R51" s="327">
        <f>'[16]3-5(續)'!$D$13+'[16]3-5(續)'!$G$13+'[16]3-5(續)'!$J$13+'[16]3-5(續)'!$N$13+'[16]3-5(續)'!$Q$13</f>
        <v>135715</v>
      </c>
      <c r="S51" s="327">
        <f>'[16]3-5(續)'!$E$13</f>
        <v>35</v>
      </c>
      <c r="T51" s="327">
        <f>'[16]3-5(續)'!$F$13</f>
        <v>162</v>
      </c>
      <c r="U51" s="327">
        <f>'[16]3-5(續)'!$H$13</f>
        <v>2251</v>
      </c>
      <c r="V51" s="327">
        <f>'[16]3-5(續)'!$I$13</f>
        <v>2038</v>
      </c>
      <c r="W51" s="327">
        <f>'[16]3-5(續)'!$K$13</f>
        <v>110915</v>
      </c>
      <c r="X51" s="327">
        <f>'[16]3-5(續)'!$L$13</f>
        <v>1080</v>
      </c>
      <c r="Y51" s="327">
        <f>'[16]3-5(續)'!$O$13</f>
        <v>18027</v>
      </c>
      <c r="Z51" s="327">
        <f>'[16]3-5(續)'!$P$13</f>
        <v>61</v>
      </c>
      <c r="AA51" s="327">
        <f>'[16]3-5(續)'!$Q$13</f>
        <v>1146</v>
      </c>
      <c r="AB51" s="327">
        <f>'[16]3-5(續)'!$R$13</f>
        <v>292113</v>
      </c>
    </row>
    <row r="52" spans="16:28" s="480" customFormat="1" ht="27.75" customHeight="1">
      <c r="P52" s="258" t="s">
        <v>1026</v>
      </c>
      <c r="Q52" s="327">
        <f>'[19]3-5(續)'!$C$13</f>
        <v>428642</v>
      </c>
      <c r="R52" s="327">
        <f>'[19]3-5(續)'!$D$13+'[19]3-5(續)'!$G$13+'[19]3-5(續)'!$J$13+'[19]3-5(續)'!$N$13+'[19]3-5(續)'!$Q$13</f>
        <v>136108</v>
      </c>
      <c r="S52" s="327">
        <f>'[19]3-5(續)'!$E$13</f>
        <v>35</v>
      </c>
      <c r="T52" s="327">
        <f>'[19]3-5(續)'!$F$13</f>
        <v>160</v>
      </c>
      <c r="U52" s="327">
        <f>'[19]3-5(續)'!$H$13</f>
        <v>2261</v>
      </c>
      <c r="V52" s="327">
        <f>'[19]3-5(續)'!$I$13</f>
        <v>2060</v>
      </c>
      <c r="W52" s="327">
        <f>'[19]3-5(續)'!$K$13</f>
        <v>111250</v>
      </c>
      <c r="X52" s="327">
        <f>'[19]3-5(續)'!$L$13</f>
        <v>1079</v>
      </c>
      <c r="Y52" s="327">
        <f>'[19]3-5(續)'!$O$13</f>
        <v>18059</v>
      </c>
      <c r="Z52" s="327">
        <f>'[19]3-5(續)'!$P$13</f>
        <v>59</v>
      </c>
      <c r="AA52" s="327">
        <f>'[19]3-5(續)'!$Q$13</f>
        <v>1145</v>
      </c>
      <c r="AB52" s="327">
        <f>'[19]3-5(續)'!$R$13</f>
        <v>292534</v>
      </c>
    </row>
    <row r="53" spans="16:28" s="480" customFormat="1" ht="27.75" customHeight="1">
      <c r="P53" s="258" t="s">
        <v>1027</v>
      </c>
      <c r="Q53" s="327">
        <f>'[21]3-5(續)'!$C$13</f>
        <v>431211</v>
      </c>
      <c r="R53" s="327">
        <f>'[21]3-5(續)'!$D$13+'[21]3-5(續)'!$G$13+'[21]3-5(續)'!$J$13+'[21]3-5(續)'!$N$13+'[21]3-5(續)'!$Q$13</f>
        <v>136526</v>
      </c>
      <c r="S53" s="327">
        <f>'[21]3-5(續)'!$E$13</f>
        <v>34</v>
      </c>
      <c r="T53" s="327">
        <f>'[21]3-5(續)'!$F$13</f>
        <v>164</v>
      </c>
      <c r="U53" s="327">
        <f>'[21]3-5(續)'!$H$13</f>
        <v>2258</v>
      </c>
      <c r="V53" s="327">
        <f>'[21]3-5(續)'!$I$13</f>
        <v>2056</v>
      </c>
      <c r="W53" s="327">
        <f>'[21]3-5(續)'!$K$13</f>
        <v>111604</v>
      </c>
      <c r="X53" s="327">
        <f>'[21]3-5(續)'!$L$13</f>
        <v>1090</v>
      </c>
      <c r="Y53" s="327">
        <f>'[21]3-5(續)'!$O$13</f>
        <v>18120</v>
      </c>
      <c r="Z53" s="327">
        <f>'[21]3-5(續)'!$P$13</f>
        <v>62</v>
      </c>
      <c r="AA53" s="327">
        <f>'[21]3-5(續)'!$Q$13</f>
        <v>1138</v>
      </c>
      <c r="AB53" s="327">
        <f>'[21]3-5(續)'!$R$13</f>
        <v>294685</v>
      </c>
    </row>
    <row r="54" spans="16:28" s="480" customFormat="1" ht="27.75" customHeight="1" thickBot="1">
      <c r="P54" s="258" t="s">
        <v>112</v>
      </c>
      <c r="Q54" s="327">
        <f>'[24]3-5(續)'!$C$13</f>
        <v>432389</v>
      </c>
      <c r="R54" s="327">
        <f>'[24]3-5(續)'!$D$13+'[24]3-5(續)'!$G$13+'[24]3-5(續)'!$J$13+'[24]3-5(續)'!$N$13+'[24]3-5(續)'!$Q$13</f>
        <v>137161</v>
      </c>
      <c r="S54" s="327">
        <f>'[24]3-5(續)'!$E$13</f>
        <v>35</v>
      </c>
      <c r="T54" s="327">
        <f>'[24]3-5(續)'!$F$13</f>
        <v>173</v>
      </c>
      <c r="U54" s="327">
        <f>'[24]3-5(續)'!$H$13</f>
        <v>2267</v>
      </c>
      <c r="V54" s="327">
        <f>'[24]3-5(續)'!$I$13</f>
        <v>2016</v>
      </c>
      <c r="W54" s="327">
        <f>'[24]3-5(續)'!$K$13</f>
        <v>112192</v>
      </c>
      <c r="X54" s="327">
        <f>'[24]3-5(續)'!$L$13</f>
        <v>1071</v>
      </c>
      <c r="Y54" s="327">
        <f>'[24]3-5(續)'!$O$13</f>
        <v>18234</v>
      </c>
      <c r="Z54" s="327">
        <f>'[24]3-5(續)'!$P$13</f>
        <v>36</v>
      </c>
      <c r="AA54" s="327">
        <f>'[24]3-5(續)'!$Q$13</f>
        <v>1137</v>
      </c>
      <c r="AB54" s="327">
        <f>'[24]3-5(續)'!$R$13</f>
        <v>295228</v>
      </c>
    </row>
    <row r="55" spans="16:28" ht="27.75" customHeight="1" thickBot="1">
      <c r="P55" s="929" t="s">
        <v>1034</v>
      </c>
      <c r="Q55" s="932">
        <f>(Q54-Q53)/Q53*100</f>
        <v>0.27318412563686917</v>
      </c>
      <c r="R55" s="934">
        <f aca="true" t="shared" si="4" ref="R55:AB55">(R54-R53)/R53*100</f>
        <v>0.46511287227341314</v>
      </c>
      <c r="S55" s="934">
        <f t="shared" si="4"/>
        <v>2.941176470588235</v>
      </c>
      <c r="T55" s="934">
        <f t="shared" si="4"/>
        <v>5.487804878048781</v>
      </c>
      <c r="U55" s="934">
        <f t="shared" si="4"/>
        <v>0.39858281665190437</v>
      </c>
      <c r="V55" s="934">
        <f t="shared" si="4"/>
        <v>-1.9455252918287937</v>
      </c>
      <c r="W55" s="934">
        <f t="shared" si="4"/>
        <v>0.5268628364574747</v>
      </c>
      <c r="X55" s="934">
        <f t="shared" si="4"/>
        <v>-1.743119266055046</v>
      </c>
      <c r="Y55" s="934">
        <f t="shared" si="4"/>
        <v>0.6291390728476821</v>
      </c>
      <c r="Z55" s="934">
        <f t="shared" si="4"/>
        <v>-41.935483870967744</v>
      </c>
      <c r="AA55" s="934">
        <f t="shared" si="4"/>
        <v>-0.08787346221441124</v>
      </c>
      <c r="AB55" s="934">
        <f t="shared" si="4"/>
        <v>0.18426455367595906</v>
      </c>
    </row>
    <row r="56" spans="16:28" ht="27.75" customHeight="1" thickBot="1">
      <c r="P56" s="1196"/>
      <c r="Q56" s="932"/>
      <c r="R56" s="935"/>
      <c r="S56" s="935"/>
      <c r="T56" s="935"/>
      <c r="U56" s="935"/>
      <c r="V56" s="935"/>
      <c r="W56" s="935"/>
      <c r="X56" s="935"/>
      <c r="Y56" s="935"/>
      <c r="Z56" s="935"/>
      <c r="AA56" s="935"/>
      <c r="AB56" s="935"/>
    </row>
    <row r="57" spans="16:37" ht="27.75" customHeight="1" thickBot="1">
      <c r="P57" s="1161" t="s">
        <v>1035</v>
      </c>
      <c r="Q57" s="932">
        <f>(Q54-Q49)/Q49*100</f>
        <v>0.9257206079038707</v>
      </c>
      <c r="R57" s="934">
        <f aca="true" t="shared" si="5" ref="R57:AB57">(R54-R49)/R49*100</f>
        <v>1.1929705483090363</v>
      </c>
      <c r="S57" s="1217">
        <f t="shared" si="5"/>
        <v>0</v>
      </c>
      <c r="T57" s="934">
        <f t="shared" si="5"/>
        <v>12.337662337662337</v>
      </c>
      <c r="U57" s="934">
        <f t="shared" si="5"/>
        <v>-0.13215859030837004</v>
      </c>
      <c r="V57" s="934">
        <f t="shared" si="5"/>
        <v>-5.263157894736842</v>
      </c>
      <c r="W57" s="934">
        <f t="shared" si="5"/>
        <v>1.405497256794743</v>
      </c>
      <c r="X57" s="934">
        <f t="shared" si="5"/>
        <v>-0.8333333333333334</v>
      </c>
      <c r="Y57" s="934">
        <f t="shared" si="5"/>
        <v>1.159500693481276</v>
      </c>
      <c r="Z57" s="934">
        <f t="shared" si="5"/>
        <v>-53.84615384615385</v>
      </c>
      <c r="AA57" s="1217">
        <f t="shared" si="5"/>
        <v>0</v>
      </c>
      <c r="AB57" s="934">
        <f t="shared" si="5"/>
        <v>0.8020377015764188</v>
      </c>
      <c r="AE57" s="480"/>
      <c r="AF57" s="480"/>
      <c r="AG57" s="480"/>
      <c r="AK57" s="436"/>
    </row>
    <row r="58" spans="16:37" ht="27.75" customHeight="1" thickBot="1">
      <c r="P58" s="1162"/>
      <c r="Q58" s="932"/>
      <c r="R58" s="935"/>
      <c r="S58" s="1218"/>
      <c r="T58" s="935"/>
      <c r="U58" s="935"/>
      <c r="V58" s="935"/>
      <c r="W58" s="935"/>
      <c r="X58" s="935"/>
      <c r="Y58" s="935"/>
      <c r="Z58" s="935"/>
      <c r="AA58" s="1218"/>
      <c r="AB58" s="935"/>
      <c r="AE58" s="480"/>
      <c r="AF58" s="480"/>
      <c r="AG58" s="480"/>
      <c r="AK58" s="436"/>
    </row>
    <row r="59" spans="16:37" ht="24.75" customHeight="1">
      <c r="P59" s="341" t="s">
        <v>1036</v>
      </c>
      <c r="Q59" s="189"/>
      <c r="R59" s="188"/>
      <c r="S59" s="438"/>
      <c r="T59" s="189"/>
      <c r="U59" s="189"/>
      <c r="V59" s="189"/>
      <c r="W59" s="189"/>
      <c r="X59" s="189"/>
      <c r="AE59" s="480"/>
      <c r="AF59" s="480"/>
      <c r="AG59" s="480"/>
      <c r="AK59" s="436"/>
    </row>
    <row r="60" spans="16:37" ht="18" customHeight="1">
      <c r="P60" s="994" t="s">
        <v>1037</v>
      </c>
      <c r="Q60" s="995"/>
      <c r="R60" s="995"/>
      <c r="S60" s="995"/>
      <c r="T60" s="995"/>
      <c r="U60" s="995"/>
      <c r="V60" s="995"/>
      <c r="W60" s="995"/>
      <c r="X60" s="995"/>
      <c r="AE60" s="8"/>
      <c r="AF60" s="480"/>
      <c r="AG60" s="501"/>
      <c r="AK60" s="436"/>
    </row>
    <row r="61" spans="31:37" ht="24.75" customHeight="1">
      <c r="AE61" s="8" t="s">
        <v>392</v>
      </c>
      <c r="AF61" s="480">
        <v>208</v>
      </c>
      <c r="AG61" s="501">
        <f>AF61/$AF$66</f>
        <v>0.001516466050845357</v>
      </c>
      <c r="AI61" s="8" t="s">
        <v>395</v>
      </c>
      <c r="AJ61" s="8" t="s">
        <v>230</v>
      </c>
      <c r="AK61" s="436"/>
    </row>
    <row r="62" spans="1:36" s="502" customFormat="1" ht="30" customHeight="1">
      <c r="A62" s="937" t="s">
        <v>1280</v>
      </c>
      <c r="B62" s="937"/>
      <c r="C62" s="937"/>
      <c r="D62" s="937"/>
      <c r="E62" s="937"/>
      <c r="F62" s="937"/>
      <c r="G62" s="937"/>
      <c r="H62" s="937"/>
      <c r="I62" s="937"/>
      <c r="J62" s="937"/>
      <c r="K62" s="937"/>
      <c r="L62" s="937"/>
      <c r="M62" s="937"/>
      <c r="N62" s="937"/>
      <c r="O62" s="937"/>
      <c r="P62" s="937" t="s">
        <v>1281</v>
      </c>
      <c r="Q62" s="937"/>
      <c r="R62" s="937"/>
      <c r="S62" s="937"/>
      <c r="T62" s="937"/>
      <c r="U62" s="937"/>
      <c r="V62" s="937"/>
      <c r="W62" s="937"/>
      <c r="X62" s="937"/>
      <c r="Y62" s="937"/>
      <c r="Z62" s="937"/>
      <c r="AA62" s="937"/>
      <c r="AB62" s="937"/>
      <c r="AE62" s="8" t="s">
        <v>393</v>
      </c>
      <c r="AF62" s="500">
        <v>4283</v>
      </c>
      <c r="AG62" s="501">
        <f>AF62/$AF$66</f>
        <v>0.031226077383512806</v>
      </c>
      <c r="AH62" s="742" t="s">
        <v>238</v>
      </c>
      <c r="AI62" s="503">
        <v>135544</v>
      </c>
      <c r="AJ62" s="503">
        <v>292879</v>
      </c>
    </row>
    <row r="63" spans="2:36" ht="43.5" customHeight="1">
      <c r="B63" s="266"/>
      <c r="AE63" s="8" t="s">
        <v>394</v>
      </c>
      <c r="AF63" s="500">
        <v>113263</v>
      </c>
      <c r="AG63" s="501">
        <f>AF63/$AF$66</f>
        <v>0.8257667996004695</v>
      </c>
      <c r="AH63" s="266" t="s">
        <v>223</v>
      </c>
      <c r="AI63" s="566">
        <v>135715</v>
      </c>
      <c r="AJ63" s="566">
        <v>292113</v>
      </c>
    </row>
    <row r="64" spans="2:36" ht="24.75" customHeight="1">
      <c r="B64" s="266"/>
      <c r="AE64" s="8" t="s">
        <v>396</v>
      </c>
      <c r="AF64" s="500">
        <v>18270</v>
      </c>
      <c r="AG64" s="501">
        <f>AF64/$AF$66</f>
        <v>0.13320112860069552</v>
      </c>
      <c r="AH64" s="651" t="s">
        <v>92</v>
      </c>
      <c r="AI64" s="675">
        <v>136108</v>
      </c>
      <c r="AJ64" s="675">
        <v>292534</v>
      </c>
    </row>
    <row r="65" spans="2:36" ht="24.75" customHeight="1">
      <c r="B65" s="266"/>
      <c r="AE65" s="8" t="s">
        <v>397</v>
      </c>
      <c r="AF65" s="500">
        <v>1137</v>
      </c>
      <c r="AG65" s="501">
        <f>AF65/$AF$66</f>
        <v>0.008289528364476783</v>
      </c>
      <c r="AH65" s="651" t="s">
        <v>229</v>
      </c>
      <c r="AI65" s="675">
        <v>136526</v>
      </c>
      <c r="AJ65" s="675">
        <v>294685</v>
      </c>
    </row>
    <row r="66" spans="2:36" ht="24.75" customHeight="1">
      <c r="B66" s="266"/>
      <c r="AE66" s="500"/>
      <c r="AF66" s="500">
        <f>SUM(AF61:AF65)</f>
        <v>137161</v>
      </c>
      <c r="AG66" s="501">
        <f>SUM(AG61:AG65)</f>
        <v>1</v>
      </c>
      <c r="AH66" s="651" t="s">
        <v>239</v>
      </c>
      <c r="AI66" s="675">
        <v>137161</v>
      </c>
      <c r="AJ66" s="675">
        <v>295228</v>
      </c>
    </row>
    <row r="67" spans="2:34" ht="24.75" customHeight="1">
      <c r="B67" s="266"/>
      <c r="AH67" s="651"/>
    </row>
    <row r="68" ht="24.75" customHeight="1">
      <c r="B68" s="266"/>
    </row>
    <row r="69" ht="24.75" customHeight="1">
      <c r="B69" s="266"/>
    </row>
    <row r="70" ht="24.75" customHeight="1">
      <c r="B70" s="266"/>
    </row>
    <row r="71" ht="24.75" customHeight="1">
      <c r="B71" s="266"/>
    </row>
    <row r="72" ht="24.75" customHeight="1">
      <c r="B72" s="266"/>
    </row>
    <row r="73" ht="24.75" customHeight="1">
      <c r="B73" s="266"/>
    </row>
    <row r="74" ht="24.75" customHeight="1">
      <c r="B74" s="266"/>
    </row>
    <row r="75" ht="24.75" customHeight="1">
      <c r="B75" s="266"/>
    </row>
    <row r="76" ht="24.75" customHeight="1">
      <c r="B76" s="266"/>
    </row>
    <row r="77" ht="24.75" customHeight="1">
      <c r="B77" s="266"/>
    </row>
    <row r="78" ht="24.75" customHeight="1">
      <c r="B78" s="266"/>
    </row>
    <row r="79" ht="24.75" customHeight="1">
      <c r="B79" s="266"/>
    </row>
    <row r="80" ht="24.75" customHeight="1">
      <c r="B80" s="266"/>
    </row>
    <row r="81" ht="24.75" customHeight="1">
      <c r="B81" s="266"/>
    </row>
    <row r="82" ht="24.75" customHeight="1">
      <c r="B82" s="266"/>
    </row>
    <row r="83" ht="24.75" customHeight="1">
      <c r="B83" s="266"/>
    </row>
    <row r="84" ht="24.75" customHeight="1">
      <c r="B84" s="266"/>
    </row>
    <row r="85" ht="24.75" customHeight="1">
      <c r="B85" s="266"/>
    </row>
    <row r="86" ht="24.75" customHeight="1">
      <c r="B86" s="266"/>
    </row>
    <row r="87" ht="24.75" customHeight="1">
      <c r="B87" s="266"/>
    </row>
    <row r="88" ht="24.75" customHeight="1">
      <c r="B88" s="266"/>
    </row>
    <row r="89" ht="24.75" customHeight="1">
      <c r="B89" s="266"/>
    </row>
    <row r="90" ht="24.75" customHeight="1">
      <c r="B90" s="266"/>
    </row>
    <row r="237" ht="24.75" customHeight="1"/>
  </sheetData>
  <mergeCells count="44">
    <mergeCell ref="A62:O62"/>
    <mergeCell ref="AB55:AB56"/>
    <mergeCell ref="W55:W56"/>
    <mergeCell ref="X55:X56"/>
    <mergeCell ref="Y55:Y56"/>
    <mergeCell ref="Z55:Z56"/>
    <mergeCell ref="AA55:AA56"/>
    <mergeCell ref="S57:S58"/>
    <mergeCell ref="X57:X58"/>
    <mergeCell ref="W57:W58"/>
    <mergeCell ref="P62:AB62"/>
    <mergeCell ref="AB57:AB58"/>
    <mergeCell ref="P57:P58"/>
    <mergeCell ref="AA57:AA58"/>
    <mergeCell ref="Y57:Y58"/>
    <mergeCell ref="Z57:Z58"/>
    <mergeCell ref="T57:T58"/>
    <mergeCell ref="V57:V58"/>
    <mergeCell ref="U57:U58"/>
    <mergeCell ref="P60:X60"/>
    <mergeCell ref="AA1:AB1"/>
    <mergeCell ref="AB3:AB5"/>
    <mergeCell ref="AA4:AA5"/>
    <mergeCell ref="B1:N1"/>
    <mergeCell ref="R1:Y1"/>
    <mergeCell ref="U4:V4"/>
    <mergeCell ref="S3:AA3"/>
    <mergeCell ref="Y4:Z4"/>
    <mergeCell ref="W4:X4"/>
    <mergeCell ref="AA2:AB2"/>
    <mergeCell ref="Q57:Q58"/>
    <mergeCell ref="R57:R58"/>
    <mergeCell ref="U55:U56"/>
    <mergeCell ref="R55:R56"/>
    <mergeCell ref="Q55:Q56"/>
    <mergeCell ref="V55:V56"/>
    <mergeCell ref="S55:S56"/>
    <mergeCell ref="T55:T56"/>
    <mergeCell ref="B2:N4"/>
    <mergeCell ref="S4:T4"/>
    <mergeCell ref="P55:P56"/>
    <mergeCell ref="R3:R5"/>
    <mergeCell ref="P3:P5"/>
    <mergeCell ref="Q3:Q5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colBreaks count="1" manualBreakCount="1">
    <brk id="15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D66"/>
  <sheetViews>
    <sheetView workbookViewId="0" topLeftCell="A33">
      <selection activeCell="B2" sqref="B2:J3"/>
    </sheetView>
  </sheetViews>
  <sheetFormatPr defaultColWidth="9.00390625" defaultRowHeight="24.75" customHeight="1"/>
  <cols>
    <col min="1" max="1" width="2.625" style="8" customWidth="1"/>
    <col min="2" max="9" width="9.00390625" style="8" customWidth="1"/>
    <col min="10" max="10" width="16.25390625" style="8" customWidth="1"/>
    <col min="11" max="11" width="2.625" style="8" customWidth="1"/>
    <col min="12" max="12" width="12.50390625" style="3" customWidth="1"/>
    <col min="13" max="21" width="9.00390625" style="266" customWidth="1"/>
    <col min="22" max="25" width="9.00390625" style="8" customWidth="1"/>
    <col min="26" max="26" width="8.50390625" style="8" customWidth="1"/>
    <col min="27" max="27" width="9.875" style="8" customWidth="1"/>
    <col min="28" max="28" width="9.00390625" style="8" customWidth="1"/>
    <col min="29" max="29" width="11.875" style="8" customWidth="1"/>
    <col min="30" max="16384" width="9.00390625" style="8" customWidth="1"/>
  </cols>
  <sheetData>
    <row r="1" spans="2:20" ht="49.5" customHeight="1" thickBot="1">
      <c r="B1" s="869" t="s">
        <v>1376</v>
      </c>
      <c r="C1" s="869"/>
      <c r="D1" s="869"/>
      <c r="E1" s="869"/>
      <c r="F1" s="869"/>
      <c r="G1" s="869"/>
      <c r="H1" s="869"/>
      <c r="I1" s="869"/>
      <c r="J1" s="869"/>
      <c r="K1" s="250"/>
      <c r="L1" s="413"/>
      <c r="M1" s="1229" t="s">
        <v>946</v>
      </c>
      <c r="N1" s="1230"/>
      <c r="O1" s="1230"/>
      <c r="P1" s="1230"/>
      <c r="Q1" s="1230"/>
      <c r="R1" s="1230"/>
      <c r="S1" s="1230"/>
      <c r="T1" s="1230"/>
    </row>
    <row r="2" spans="2:21" s="14" customFormat="1" ht="34.5" customHeight="1">
      <c r="B2" s="1193" t="s">
        <v>839</v>
      </c>
      <c r="C2" s="1193"/>
      <c r="D2" s="1193"/>
      <c r="E2" s="1193"/>
      <c r="F2" s="1193"/>
      <c r="G2" s="1193"/>
      <c r="H2" s="1193"/>
      <c r="I2" s="1193"/>
      <c r="J2" s="1220"/>
      <c r="K2" s="412"/>
      <c r="L2" s="997" t="s">
        <v>947</v>
      </c>
      <c r="M2" s="1225" t="s">
        <v>948</v>
      </c>
      <c r="N2" s="1233" t="s">
        <v>949</v>
      </c>
      <c r="O2" s="1231" t="s">
        <v>1309</v>
      </c>
      <c r="P2" s="1227" t="s">
        <v>1209</v>
      </c>
      <c r="Q2" s="1228"/>
      <c r="R2" s="1228"/>
      <c r="S2" s="1221" t="s">
        <v>1210</v>
      </c>
      <c r="T2" s="1222"/>
      <c r="U2" s="1222"/>
    </row>
    <row r="3" spans="2:28" s="14" customFormat="1" ht="42.75" customHeight="1" thickBot="1">
      <c r="B3" s="1193"/>
      <c r="C3" s="1193"/>
      <c r="D3" s="1193"/>
      <c r="E3" s="1193"/>
      <c r="F3" s="1193"/>
      <c r="G3" s="1193"/>
      <c r="H3" s="1193"/>
      <c r="I3" s="1193"/>
      <c r="J3" s="1220"/>
      <c r="K3" s="412"/>
      <c r="L3" s="998"/>
      <c r="M3" s="1226"/>
      <c r="N3" s="1234"/>
      <c r="O3" s="1232"/>
      <c r="P3" s="46" t="s">
        <v>950</v>
      </c>
      <c r="Q3" s="46" t="s">
        <v>1206</v>
      </c>
      <c r="R3" s="46" t="s">
        <v>1207</v>
      </c>
      <c r="S3" s="46" t="s">
        <v>950</v>
      </c>
      <c r="T3" s="40" t="s">
        <v>981</v>
      </c>
      <c r="U3" s="47" t="s">
        <v>1208</v>
      </c>
      <c r="V3" s="16"/>
      <c r="AA3" s="16"/>
      <c r="AB3" s="12"/>
    </row>
    <row r="4" spans="12:28" ht="24.75" customHeight="1" hidden="1">
      <c r="L4" s="17" t="s">
        <v>1103</v>
      </c>
      <c r="M4" s="176">
        <v>145</v>
      </c>
      <c r="N4" s="183">
        <f>M4/365</f>
        <v>0.3972602739726027</v>
      </c>
      <c r="O4" s="183">
        <f>M4/'[2]機動車輛'!P5*10000</f>
        <v>4.901480247034605</v>
      </c>
      <c r="P4" s="154">
        <f>Q4+R4</f>
        <v>256</v>
      </c>
      <c r="Q4" s="154">
        <v>123</v>
      </c>
      <c r="R4" s="154">
        <v>133</v>
      </c>
      <c r="S4" s="154">
        <f>T4+U4</f>
        <v>144</v>
      </c>
      <c r="T4" s="154">
        <v>142</v>
      </c>
      <c r="U4" s="154">
        <v>2</v>
      </c>
      <c r="V4" s="16"/>
      <c r="AA4" s="16"/>
      <c r="AB4" s="27"/>
    </row>
    <row r="5" spans="12:28" ht="24.75" customHeight="1" hidden="1">
      <c r="L5" s="19" t="s">
        <v>982</v>
      </c>
      <c r="M5" s="176">
        <v>121</v>
      </c>
      <c r="N5" s="183">
        <f>M5/365</f>
        <v>0.3315068493150685</v>
      </c>
      <c r="O5" s="183">
        <f>M5/'[2]機動車輛'!P6*10000</f>
        <v>3.84524936918843</v>
      </c>
      <c r="P5" s="154">
        <f>Q5+R5</f>
        <v>208</v>
      </c>
      <c r="Q5" s="154">
        <v>113</v>
      </c>
      <c r="R5" s="154">
        <v>95</v>
      </c>
      <c r="S5" s="154">
        <f>T5+U5</f>
        <v>121</v>
      </c>
      <c r="T5" s="154">
        <v>120</v>
      </c>
      <c r="U5" s="154">
        <v>1</v>
      </c>
      <c r="V5" s="16"/>
      <c r="AB5" s="45"/>
    </row>
    <row r="6" spans="12:28" ht="24.75" customHeight="1" hidden="1">
      <c r="L6" s="414"/>
      <c r="M6" s="415"/>
      <c r="N6" s="416"/>
      <c r="O6" s="416"/>
      <c r="P6" s="416"/>
      <c r="Q6" s="416"/>
      <c r="R6" s="416"/>
      <c r="S6" s="416"/>
      <c r="T6" s="416"/>
      <c r="U6" s="416"/>
      <c r="V6" s="16"/>
      <c r="AB6" s="45"/>
    </row>
    <row r="7" spans="12:28" ht="24.75" customHeight="1" hidden="1">
      <c r="L7" s="19" t="s">
        <v>983</v>
      </c>
      <c r="M7" s="176">
        <v>95</v>
      </c>
      <c r="N7" s="183">
        <f>M7/365</f>
        <v>0.2602739726027397</v>
      </c>
      <c r="O7" s="183">
        <f>M7/'[2]機動車輛'!P8*10000</f>
        <v>2.8577874708580886</v>
      </c>
      <c r="P7" s="154">
        <f>Q7+R7</f>
        <v>139</v>
      </c>
      <c r="Q7" s="154">
        <v>94</v>
      </c>
      <c r="R7" s="154">
        <v>45</v>
      </c>
      <c r="S7" s="154">
        <f>T7+U7</f>
        <v>95</v>
      </c>
      <c r="T7" s="154">
        <v>95</v>
      </c>
      <c r="U7" s="384">
        <v>0</v>
      </c>
      <c r="V7" s="16"/>
      <c r="AB7" s="45"/>
    </row>
    <row r="8" spans="12:28" ht="24.75" customHeight="1" hidden="1">
      <c r="L8" s="17" t="s">
        <v>984</v>
      </c>
      <c r="M8" s="176">
        <v>91</v>
      </c>
      <c r="N8" s="183">
        <f>M8/365</f>
        <v>0.2493150684931507</v>
      </c>
      <c r="O8" s="183">
        <f>M8/'[2]機動車輛'!P9*10000</f>
        <v>2.6783375470548587</v>
      </c>
      <c r="P8" s="154">
        <f>Q8+R8</f>
        <v>157</v>
      </c>
      <c r="Q8" s="154">
        <v>96</v>
      </c>
      <c r="R8" s="154">
        <v>61</v>
      </c>
      <c r="S8" s="154">
        <f>T8+U8</f>
        <v>91</v>
      </c>
      <c r="T8" s="154">
        <v>90</v>
      </c>
      <c r="U8" s="154">
        <v>1</v>
      </c>
      <c r="V8" s="16"/>
      <c r="AB8" s="45"/>
    </row>
    <row r="9" spans="12:28" ht="24.75" customHeight="1" hidden="1">
      <c r="L9" s="17" t="s">
        <v>985</v>
      </c>
      <c r="M9" s="176">
        <v>99</v>
      </c>
      <c r="N9" s="183">
        <f>M9/365</f>
        <v>0.27123287671232876</v>
      </c>
      <c r="O9" s="417">
        <f>M9/'[2]機動車輛'!P10*10000</f>
        <v>2.8394180053518725</v>
      </c>
      <c r="P9" s="154">
        <f>Q9+R9</f>
        <v>154</v>
      </c>
      <c r="Q9" s="154">
        <v>113</v>
      </c>
      <c r="R9" s="154">
        <v>41</v>
      </c>
      <c r="S9" s="154">
        <f>T9+U9</f>
        <v>99</v>
      </c>
      <c r="T9" s="154">
        <v>97</v>
      </c>
      <c r="U9" s="154">
        <v>2</v>
      </c>
      <c r="V9" s="16"/>
      <c r="AB9" s="45"/>
    </row>
    <row r="10" spans="12:28" ht="24.75" customHeight="1">
      <c r="L10" s="17" t="s">
        <v>986</v>
      </c>
      <c r="M10" s="176">
        <v>94</v>
      </c>
      <c r="N10" s="183">
        <f>M10/365</f>
        <v>0.25753424657534246</v>
      </c>
      <c r="O10" s="417">
        <f>M10/'[2]機動車輛'!P11*10000</f>
        <v>2.6337614596642234</v>
      </c>
      <c r="P10" s="154">
        <f>Q10+R10</f>
        <v>143</v>
      </c>
      <c r="Q10" s="154">
        <v>98</v>
      </c>
      <c r="R10" s="154">
        <v>45</v>
      </c>
      <c r="S10" s="154">
        <f>T10+U10</f>
        <v>94</v>
      </c>
      <c r="T10" s="154">
        <v>90</v>
      </c>
      <c r="U10" s="154">
        <v>4</v>
      </c>
      <c r="V10" s="16"/>
      <c r="AB10" s="45"/>
    </row>
    <row r="11" spans="12:29" ht="24.75" customHeight="1">
      <c r="L11" s="17" t="s">
        <v>987</v>
      </c>
      <c r="M11" s="176">
        <v>96</v>
      </c>
      <c r="N11" s="183">
        <f>M11/365</f>
        <v>0.26301369863013696</v>
      </c>
      <c r="O11" s="417">
        <f>M11/'[2]機動車輛'!P12*10000</f>
        <v>2.6518677712432566</v>
      </c>
      <c r="P11" s="154">
        <f>Q11+R11</f>
        <v>119</v>
      </c>
      <c r="Q11" s="154">
        <v>100</v>
      </c>
      <c r="R11" s="154">
        <v>19</v>
      </c>
      <c r="S11" s="154">
        <f>T11+U11</f>
        <v>96</v>
      </c>
      <c r="T11" s="154">
        <v>94</v>
      </c>
      <c r="U11" s="154">
        <v>2</v>
      </c>
      <c r="V11" s="16"/>
      <c r="AA11" s="16"/>
      <c r="AB11" s="27"/>
      <c r="AC11" s="11"/>
    </row>
    <row r="12" spans="12:29" ht="24.75" customHeight="1">
      <c r="L12" s="17" t="s">
        <v>988</v>
      </c>
      <c r="M12" s="176">
        <v>87</v>
      </c>
      <c r="N12" s="183">
        <v>0.24</v>
      </c>
      <c r="O12" s="417">
        <f>M12/'[2]機動車輛'!P14*10000</f>
        <v>2.356976243304968</v>
      </c>
      <c r="P12" s="154">
        <v>127</v>
      </c>
      <c r="Q12" s="154">
        <v>95</v>
      </c>
      <c r="R12" s="154">
        <v>32</v>
      </c>
      <c r="S12" s="154">
        <v>87</v>
      </c>
      <c r="T12" s="154">
        <v>87</v>
      </c>
      <c r="U12" s="217">
        <v>0</v>
      </c>
      <c r="AA12" s="48"/>
      <c r="AB12" s="27"/>
      <c r="AC12" s="11"/>
    </row>
    <row r="13" spans="12:21" ht="24.75" customHeight="1">
      <c r="L13" s="17" t="s">
        <v>989</v>
      </c>
      <c r="M13" s="176">
        <v>81</v>
      </c>
      <c r="N13" s="183">
        <f>M13/360</f>
        <v>0.225</v>
      </c>
      <c r="O13" s="417">
        <f>M13/'[2]機動車輛'!P15*10000</f>
        <v>2.1399133467188</v>
      </c>
      <c r="P13" s="154">
        <f>P14+P15+P16+P17</f>
        <v>130</v>
      </c>
      <c r="Q13" s="154">
        <f>Q14+Q15+Q16+Q17</f>
        <v>87</v>
      </c>
      <c r="R13" s="154">
        <f>R14+R15+R16+R17</f>
        <v>43</v>
      </c>
      <c r="S13" s="154">
        <f>S14+S15+S16+S17</f>
        <v>81</v>
      </c>
      <c r="T13" s="154">
        <v>81</v>
      </c>
      <c r="U13" s="217">
        <v>0</v>
      </c>
    </row>
    <row r="14" spans="12:21" ht="24.75" customHeight="1" hidden="1">
      <c r="L14" s="23" t="s">
        <v>990</v>
      </c>
      <c r="M14" s="176">
        <v>26</v>
      </c>
      <c r="N14" s="183">
        <f>M14/90</f>
        <v>0.28888888888888886</v>
      </c>
      <c r="O14" s="417">
        <f>M14/'[2]機動車輛'!P16*10000</f>
        <v>0.7009144237405106</v>
      </c>
      <c r="P14" s="154">
        <f aca="true" t="shared" si="0" ref="P14:P27">Q14+R14</f>
        <v>45</v>
      </c>
      <c r="Q14" s="154">
        <v>26</v>
      </c>
      <c r="R14" s="154">
        <v>19</v>
      </c>
      <c r="S14" s="154">
        <f>T14+U14</f>
        <v>26</v>
      </c>
      <c r="T14" s="154">
        <v>26</v>
      </c>
      <c r="U14" s="418">
        <v>0</v>
      </c>
    </row>
    <row r="15" spans="12:21" ht="24.75" customHeight="1" hidden="1">
      <c r="L15" s="23" t="s">
        <v>991</v>
      </c>
      <c r="M15" s="419">
        <v>19</v>
      </c>
      <c r="N15" s="183">
        <f>M15/90</f>
        <v>0.2111111111111111</v>
      </c>
      <c r="O15" s="417">
        <f>M15/'[2]機動車輛'!P17*10000</f>
        <v>0.5096211101157108</v>
      </c>
      <c r="P15" s="154">
        <f t="shared" si="0"/>
        <v>27</v>
      </c>
      <c r="Q15" s="153">
        <v>20</v>
      </c>
      <c r="R15" s="153">
        <v>7</v>
      </c>
      <c r="S15" s="154">
        <f>T15+U15</f>
        <v>19</v>
      </c>
      <c r="T15" s="153">
        <v>18</v>
      </c>
      <c r="U15" s="153">
        <v>1</v>
      </c>
    </row>
    <row r="16" spans="12:30" ht="24.75" customHeight="1" hidden="1">
      <c r="L16" s="23" t="s">
        <v>992</v>
      </c>
      <c r="M16" s="419">
        <v>20</v>
      </c>
      <c r="N16" s="183">
        <f>M16/90</f>
        <v>0.2222222222222222</v>
      </c>
      <c r="O16" s="417">
        <f>M16/'[2]機動車輛'!P18*10000</f>
        <v>0.5310209142587081</v>
      </c>
      <c r="P16" s="154">
        <f t="shared" si="0"/>
        <v>30</v>
      </c>
      <c r="Q16" s="153">
        <v>21</v>
      </c>
      <c r="R16" s="153">
        <v>9</v>
      </c>
      <c r="S16" s="154">
        <f>T16+U16</f>
        <v>20</v>
      </c>
      <c r="T16" s="153">
        <v>20</v>
      </c>
      <c r="U16" s="256">
        <v>0</v>
      </c>
      <c r="AB16" s="31" t="s">
        <v>923</v>
      </c>
      <c r="AC16" s="8">
        <v>16</v>
      </c>
      <c r="AD16" s="8">
        <v>28</v>
      </c>
    </row>
    <row r="17" spans="12:21" ht="24.75" customHeight="1" hidden="1">
      <c r="L17" s="23" t="s">
        <v>993</v>
      </c>
      <c r="M17" s="419">
        <v>16</v>
      </c>
      <c r="N17" s="183">
        <f>M17/90</f>
        <v>0.17777777777777778</v>
      </c>
      <c r="O17" s="417">
        <f>M17/'[2]機動車輛'!P19*10000</f>
        <v>0.42269893268519493</v>
      </c>
      <c r="P17" s="154">
        <f t="shared" si="0"/>
        <v>28</v>
      </c>
      <c r="Q17" s="153">
        <v>20</v>
      </c>
      <c r="R17" s="153">
        <v>8</v>
      </c>
      <c r="S17" s="154">
        <f>T17+U17</f>
        <v>16</v>
      </c>
      <c r="T17" s="153">
        <v>16</v>
      </c>
      <c r="U17" s="256">
        <v>0</v>
      </c>
    </row>
    <row r="18" spans="12:30" ht="24.75" customHeight="1">
      <c r="L18" s="17" t="s">
        <v>994</v>
      </c>
      <c r="M18" s="419">
        <v>68</v>
      </c>
      <c r="N18" s="183">
        <f>M18/360</f>
        <v>0.18888888888888888</v>
      </c>
      <c r="O18" s="417">
        <f>M18/'[2]機動車輛'!P20*10000</f>
        <v>1.748656363309075</v>
      </c>
      <c r="P18" s="154">
        <f t="shared" si="0"/>
        <v>142</v>
      </c>
      <c r="Q18" s="154">
        <v>76</v>
      </c>
      <c r="R18" s="154">
        <v>66</v>
      </c>
      <c r="S18" s="154">
        <v>68</v>
      </c>
      <c r="T18" s="154">
        <v>66</v>
      </c>
      <c r="U18" s="154">
        <v>2</v>
      </c>
      <c r="AB18" s="7"/>
      <c r="AC18" s="3"/>
      <c r="AD18" s="3"/>
    </row>
    <row r="19" spans="12:30" ht="24.75" customHeight="1" hidden="1">
      <c r="L19" s="23" t="s">
        <v>995</v>
      </c>
      <c r="M19" s="419">
        <v>25</v>
      </c>
      <c r="N19" s="183">
        <f>M19/90</f>
        <v>0.2777777777777778</v>
      </c>
      <c r="O19" s="417">
        <f>M19/'[2]機動車輛'!P21*10000</f>
        <v>0.6569905104290674</v>
      </c>
      <c r="P19" s="153">
        <f t="shared" si="0"/>
        <v>71</v>
      </c>
      <c r="Q19" s="153">
        <v>27</v>
      </c>
      <c r="R19" s="153">
        <v>44</v>
      </c>
      <c r="S19" s="154">
        <f>T19+U19</f>
        <v>25</v>
      </c>
      <c r="T19" s="153">
        <v>23</v>
      </c>
      <c r="U19" s="153">
        <v>2</v>
      </c>
      <c r="AB19" s="29" t="s">
        <v>926</v>
      </c>
      <c r="AC19" s="49">
        <v>20</v>
      </c>
      <c r="AD19" s="3">
        <v>31</v>
      </c>
    </row>
    <row r="20" spans="12:30" ht="24.75" customHeight="1" hidden="1">
      <c r="L20" s="23" t="s">
        <v>942</v>
      </c>
      <c r="M20" s="419">
        <v>20</v>
      </c>
      <c r="N20" s="183">
        <f>M20/90</f>
        <v>0.2222222222222222</v>
      </c>
      <c r="O20" s="417">
        <f>M20/'[2]機動車輛'!P22*10000</f>
        <v>0.5208048518179995</v>
      </c>
      <c r="P20" s="153">
        <f t="shared" si="0"/>
        <v>31</v>
      </c>
      <c r="Q20" s="153">
        <v>23</v>
      </c>
      <c r="R20" s="153">
        <v>8</v>
      </c>
      <c r="S20" s="154">
        <f>T20+U20</f>
        <v>20</v>
      </c>
      <c r="T20" s="153">
        <v>19</v>
      </c>
      <c r="U20" s="153">
        <v>1</v>
      </c>
      <c r="W20" s="45"/>
      <c r="AB20" s="29" t="s">
        <v>928</v>
      </c>
      <c r="AC20" s="3">
        <v>11</v>
      </c>
      <c r="AD20" s="3">
        <v>22</v>
      </c>
    </row>
    <row r="21" spans="12:30" ht="24.75" customHeight="1" hidden="1">
      <c r="L21" s="23" t="s">
        <v>1327</v>
      </c>
      <c r="M21" s="419">
        <v>11</v>
      </c>
      <c r="N21" s="183">
        <f>M21/90</f>
        <v>0.12222222222222222</v>
      </c>
      <c r="O21" s="417">
        <f>M21/'[2]機動車輛'!P23*10000</f>
        <v>0.28415842607231057</v>
      </c>
      <c r="P21" s="153">
        <f t="shared" si="0"/>
        <v>22</v>
      </c>
      <c r="Q21" s="153">
        <v>14</v>
      </c>
      <c r="R21" s="153">
        <v>8</v>
      </c>
      <c r="S21" s="154">
        <f>T21+U21</f>
        <v>11</v>
      </c>
      <c r="T21" s="153">
        <v>9</v>
      </c>
      <c r="U21" s="153">
        <v>2</v>
      </c>
      <c r="W21" s="45"/>
      <c r="AB21" s="50" t="s">
        <v>931</v>
      </c>
      <c r="AC21" s="3">
        <v>12</v>
      </c>
      <c r="AD21" s="3">
        <v>18</v>
      </c>
    </row>
    <row r="22" spans="12:23" ht="24.75" customHeight="1" hidden="1">
      <c r="L22" s="23" t="s">
        <v>1325</v>
      </c>
      <c r="M22" s="419">
        <v>12</v>
      </c>
      <c r="N22" s="183">
        <f>M22/90</f>
        <v>0.13333333333333333</v>
      </c>
      <c r="O22" s="417">
        <f>M22/'[2]機動車輛'!P24*10000</f>
        <v>0.30858641705454265</v>
      </c>
      <c r="P22" s="153">
        <f t="shared" si="0"/>
        <v>18</v>
      </c>
      <c r="Q22" s="153">
        <v>12</v>
      </c>
      <c r="R22" s="153">
        <v>6</v>
      </c>
      <c r="S22" s="154">
        <f>T22+U22</f>
        <v>12</v>
      </c>
      <c r="T22" s="153">
        <v>11</v>
      </c>
      <c r="U22" s="153">
        <v>1</v>
      </c>
      <c r="W22" s="45"/>
    </row>
    <row r="23" spans="12:23" ht="24.75" customHeight="1">
      <c r="L23" s="25" t="s">
        <v>996</v>
      </c>
      <c r="M23" s="167">
        <v>85</v>
      </c>
      <c r="N23" s="183">
        <f aca="true" t="shared" si="1" ref="N23:N33">M23/360</f>
        <v>0.2361111111111111</v>
      </c>
      <c r="O23" s="417">
        <f>M23/'[2]機動車輛'!P25*10000</f>
        <v>2.126584305307454</v>
      </c>
      <c r="P23" s="153">
        <f t="shared" si="0"/>
        <v>112</v>
      </c>
      <c r="Q23" s="153">
        <v>85</v>
      </c>
      <c r="R23" s="153">
        <v>27</v>
      </c>
      <c r="S23" s="154">
        <v>85</v>
      </c>
      <c r="T23" s="153">
        <v>83</v>
      </c>
      <c r="U23" s="153">
        <v>2</v>
      </c>
      <c r="W23" s="45"/>
    </row>
    <row r="24" spans="12:23" ht="24.75" customHeight="1" hidden="1">
      <c r="L24" s="26" t="s">
        <v>941</v>
      </c>
      <c r="M24" s="167">
        <v>20</v>
      </c>
      <c r="N24" s="183">
        <f t="shared" si="1"/>
        <v>0.05555555555555555</v>
      </c>
      <c r="O24" s="417">
        <f>M24/'[2]機動車輛'!P26*10000</f>
        <v>0.5104124132298897</v>
      </c>
      <c r="P24" s="153">
        <f t="shared" si="0"/>
        <v>25</v>
      </c>
      <c r="Q24" s="153">
        <v>20</v>
      </c>
      <c r="R24" s="153">
        <v>5</v>
      </c>
      <c r="S24" s="154">
        <f>T24+U24</f>
        <v>20</v>
      </c>
      <c r="T24" s="153">
        <v>20</v>
      </c>
      <c r="U24" s="217">
        <v>0</v>
      </c>
      <c r="W24" s="45"/>
    </row>
    <row r="25" spans="12:23" ht="24.75" customHeight="1" hidden="1">
      <c r="L25" s="26" t="s">
        <v>942</v>
      </c>
      <c r="M25" s="167">
        <v>21</v>
      </c>
      <c r="N25" s="183">
        <f t="shared" si="1"/>
        <v>0.058333333333333334</v>
      </c>
      <c r="O25" s="417">
        <f>M25/'[2]機動車輛'!P27*10000</f>
        <v>0.5320577460006993</v>
      </c>
      <c r="P25" s="153">
        <f t="shared" si="0"/>
        <v>31</v>
      </c>
      <c r="Q25" s="153">
        <v>21</v>
      </c>
      <c r="R25" s="153">
        <v>10</v>
      </c>
      <c r="S25" s="154">
        <f>T25+U25</f>
        <v>21</v>
      </c>
      <c r="T25" s="153">
        <v>21</v>
      </c>
      <c r="U25" s="217">
        <v>0</v>
      </c>
      <c r="W25" s="45"/>
    </row>
    <row r="26" spans="12:23" ht="24.75" customHeight="1" hidden="1">
      <c r="L26" s="26" t="s">
        <v>1327</v>
      </c>
      <c r="M26" s="167">
        <v>14</v>
      </c>
      <c r="N26" s="183">
        <f t="shared" si="1"/>
        <v>0.03888888888888889</v>
      </c>
      <c r="O26" s="417">
        <f>M26/'[2]機動車輛'!P28*10000</f>
        <v>0.3515918320194681</v>
      </c>
      <c r="P26" s="153">
        <f t="shared" si="0"/>
        <v>17</v>
      </c>
      <c r="Q26" s="153">
        <v>14</v>
      </c>
      <c r="R26" s="153">
        <v>3</v>
      </c>
      <c r="S26" s="154">
        <f>T26+U26</f>
        <v>14</v>
      </c>
      <c r="T26" s="153">
        <v>13</v>
      </c>
      <c r="U26" s="217">
        <v>1</v>
      </c>
      <c r="W26" s="45"/>
    </row>
    <row r="27" spans="12:23" ht="24.75" customHeight="1" hidden="1">
      <c r="L27" s="26" t="s">
        <v>1325</v>
      </c>
      <c r="M27" s="167">
        <v>30</v>
      </c>
      <c r="N27" s="183">
        <f t="shared" si="1"/>
        <v>0.08333333333333333</v>
      </c>
      <c r="O27" s="417">
        <f>M27/'[2]機動車輛'!P29*10000</f>
        <v>0.7505591665791015</v>
      </c>
      <c r="P27" s="153">
        <f t="shared" si="0"/>
        <v>39</v>
      </c>
      <c r="Q27" s="153">
        <v>30</v>
      </c>
      <c r="R27" s="153">
        <v>9</v>
      </c>
      <c r="S27" s="154">
        <f>T27+U27</f>
        <v>30</v>
      </c>
      <c r="T27" s="153">
        <v>27</v>
      </c>
      <c r="U27" s="217">
        <v>3</v>
      </c>
      <c r="W27" s="45"/>
    </row>
    <row r="28" spans="12:21" ht="24.75" customHeight="1">
      <c r="L28" s="25" t="s">
        <v>997</v>
      </c>
      <c r="M28" s="167">
        <f>SUM(M29:M32)</f>
        <v>97</v>
      </c>
      <c r="N28" s="183">
        <f t="shared" si="1"/>
        <v>0.26944444444444443</v>
      </c>
      <c r="O28" s="417">
        <v>2.38</v>
      </c>
      <c r="P28" s="153">
        <v>145</v>
      </c>
      <c r="Q28" s="153">
        <f>SUM(Q29:Q32)</f>
        <v>98</v>
      </c>
      <c r="R28" s="153">
        <f>SUM(R29:R32)</f>
        <v>47</v>
      </c>
      <c r="S28" s="153">
        <v>97</v>
      </c>
      <c r="T28" s="153">
        <v>96</v>
      </c>
      <c r="U28" s="153">
        <v>1</v>
      </c>
    </row>
    <row r="29" spans="12:21" ht="24.75" customHeight="1" hidden="1">
      <c r="L29" s="26" t="s">
        <v>941</v>
      </c>
      <c r="M29" s="167">
        <v>28</v>
      </c>
      <c r="N29" s="183">
        <f>M29/90</f>
        <v>0.3111111111111111</v>
      </c>
      <c r="O29" s="417">
        <f>M29/'[2]機動車輛'!P31*10000</f>
        <v>0.6963199490691694</v>
      </c>
      <c r="P29" s="153">
        <f>Q29+R29</f>
        <v>40</v>
      </c>
      <c r="Q29" s="153">
        <v>28</v>
      </c>
      <c r="R29" s="153">
        <v>12</v>
      </c>
      <c r="S29" s="154">
        <f>T29+U29</f>
        <v>28</v>
      </c>
      <c r="T29" s="153">
        <v>25</v>
      </c>
      <c r="U29" s="217">
        <v>3</v>
      </c>
    </row>
    <row r="30" spans="12:21" ht="24.75" customHeight="1" hidden="1">
      <c r="L30" s="26" t="s">
        <v>942</v>
      </c>
      <c r="M30" s="167">
        <v>17</v>
      </c>
      <c r="N30" s="183">
        <f>M30/90</f>
        <v>0.18888888888888888</v>
      </c>
      <c r="O30" s="417">
        <f>M30/'[1]機動車輛'!P32*10000</f>
        <v>0.4213427449736289</v>
      </c>
      <c r="P30" s="153">
        <v>24</v>
      </c>
      <c r="Q30" s="153">
        <v>17</v>
      </c>
      <c r="R30" s="153">
        <v>7</v>
      </c>
      <c r="S30" s="153">
        <v>17</v>
      </c>
      <c r="T30" s="153">
        <v>16</v>
      </c>
      <c r="U30" s="217">
        <v>1</v>
      </c>
    </row>
    <row r="31" spans="12:21" ht="24.75" customHeight="1" hidden="1">
      <c r="L31" s="26" t="s">
        <v>1327</v>
      </c>
      <c r="M31" s="167">
        <v>22</v>
      </c>
      <c r="N31" s="183">
        <f>M31/90</f>
        <v>0.24444444444444444</v>
      </c>
      <c r="O31" s="417">
        <f>M31/'[1]機動車輛'!P33*10000</f>
        <v>0.541980050207061</v>
      </c>
      <c r="P31" s="153">
        <v>27</v>
      </c>
      <c r="Q31" s="153">
        <v>22</v>
      </c>
      <c r="R31" s="153">
        <v>5</v>
      </c>
      <c r="S31" s="153">
        <v>22</v>
      </c>
      <c r="T31" s="153">
        <v>22</v>
      </c>
      <c r="U31" s="219">
        <v>0</v>
      </c>
    </row>
    <row r="32" spans="12:30" ht="24.75" customHeight="1" hidden="1">
      <c r="L32" s="26" t="s">
        <v>1325</v>
      </c>
      <c r="M32" s="167">
        <v>30</v>
      </c>
      <c r="N32" s="183">
        <f>M32/90</f>
        <v>0.3333333333333333</v>
      </c>
      <c r="O32" s="417">
        <f>M32/'[1]機動車輛'!P34*10000</f>
        <v>0.7367549872173009</v>
      </c>
      <c r="P32" s="153">
        <v>54</v>
      </c>
      <c r="Q32" s="153">
        <v>31</v>
      </c>
      <c r="R32" s="153">
        <v>23</v>
      </c>
      <c r="S32" s="153">
        <v>30</v>
      </c>
      <c r="T32" s="153">
        <v>30</v>
      </c>
      <c r="U32" s="219">
        <v>0</v>
      </c>
      <c r="W32" s="51"/>
      <c r="AD32" s="15"/>
    </row>
    <row r="33" spans="12:21" ht="24.75" customHeight="1">
      <c r="L33" s="25" t="s">
        <v>998</v>
      </c>
      <c r="M33" s="167">
        <v>77</v>
      </c>
      <c r="N33" s="183">
        <f t="shared" si="1"/>
        <v>0.21388888888888888</v>
      </c>
      <c r="O33" s="417">
        <v>1.88</v>
      </c>
      <c r="P33" s="153">
        <v>105</v>
      </c>
      <c r="Q33" s="153">
        <v>81</v>
      </c>
      <c r="R33" s="153">
        <v>24</v>
      </c>
      <c r="S33" s="154">
        <v>77</v>
      </c>
      <c r="T33" s="153">
        <v>75</v>
      </c>
      <c r="U33" s="153">
        <v>2</v>
      </c>
    </row>
    <row r="34" spans="12:21" ht="24.75" customHeight="1" hidden="1">
      <c r="L34" s="26" t="s">
        <v>941</v>
      </c>
      <c r="M34" s="167">
        <v>20</v>
      </c>
      <c r="N34" s="183">
        <f>M34/90</f>
        <v>0.2222222222222222</v>
      </c>
      <c r="O34" s="417">
        <f>M34/'[1]機動車輛'!P37*10000</f>
        <v>0.4889963594221041</v>
      </c>
      <c r="P34" s="153">
        <v>23</v>
      </c>
      <c r="Q34" s="153">
        <v>20</v>
      </c>
      <c r="R34" s="153">
        <v>3</v>
      </c>
      <c r="S34" s="154">
        <v>20</v>
      </c>
      <c r="T34" s="153">
        <v>20</v>
      </c>
      <c r="U34" s="153">
        <v>0</v>
      </c>
    </row>
    <row r="35" spans="12:25" ht="24.75" customHeight="1" hidden="1">
      <c r="L35" s="26" t="s">
        <v>942</v>
      </c>
      <c r="M35" s="167">
        <v>17</v>
      </c>
      <c r="N35" s="183">
        <f>M35/90</f>
        <v>0.18888888888888888</v>
      </c>
      <c r="O35" s="417">
        <f>M35/'[1]機動車輛'!P38*10000</f>
        <v>0.41448856986814386</v>
      </c>
      <c r="P35" s="153">
        <v>23</v>
      </c>
      <c r="Q35" s="153">
        <v>17</v>
      </c>
      <c r="R35" s="153">
        <v>6</v>
      </c>
      <c r="S35" s="154">
        <v>17</v>
      </c>
      <c r="T35" s="153">
        <v>17</v>
      </c>
      <c r="U35" s="153">
        <v>0</v>
      </c>
      <c r="W35" s="14" t="s">
        <v>1105</v>
      </c>
      <c r="X35" s="14" t="s">
        <v>1381</v>
      </c>
      <c r="Y35" s="14" t="s">
        <v>1382</v>
      </c>
    </row>
    <row r="36" spans="12:25" ht="24.75" customHeight="1" hidden="1">
      <c r="L36" s="26" t="s">
        <v>1327</v>
      </c>
      <c r="M36" s="167">
        <v>20</v>
      </c>
      <c r="N36" s="183">
        <f>M36/90</f>
        <v>0.2222222222222222</v>
      </c>
      <c r="O36" s="417">
        <v>0.48</v>
      </c>
      <c r="P36" s="153">
        <v>32</v>
      </c>
      <c r="Q36" s="153">
        <v>23</v>
      </c>
      <c r="R36" s="153">
        <v>9</v>
      </c>
      <c r="S36" s="154">
        <v>19</v>
      </c>
      <c r="T36" s="153">
        <v>16</v>
      </c>
      <c r="U36" s="153">
        <v>3</v>
      </c>
      <c r="W36" s="20" t="s">
        <v>1322</v>
      </c>
      <c r="X36" s="8">
        <v>91</v>
      </c>
      <c r="Y36" s="8">
        <v>157</v>
      </c>
    </row>
    <row r="37" spans="12:25" ht="24.75" customHeight="1" hidden="1">
      <c r="L37" s="26" t="s">
        <v>1325</v>
      </c>
      <c r="M37" s="167">
        <v>21</v>
      </c>
      <c r="N37" s="183">
        <f>M37/90</f>
        <v>0.23333333333333334</v>
      </c>
      <c r="O37" s="417">
        <v>0.51</v>
      </c>
      <c r="P37" s="153">
        <v>28</v>
      </c>
      <c r="Q37" s="153">
        <v>22</v>
      </c>
      <c r="R37" s="153">
        <v>6</v>
      </c>
      <c r="S37" s="154">
        <v>21</v>
      </c>
      <c r="T37" s="153">
        <v>21</v>
      </c>
      <c r="U37" s="153">
        <v>0</v>
      </c>
      <c r="W37" s="20" t="s">
        <v>924</v>
      </c>
      <c r="X37" s="8">
        <v>99</v>
      </c>
      <c r="Y37" s="8">
        <v>154</v>
      </c>
    </row>
    <row r="38" spans="12:21" ht="24.75" customHeight="1">
      <c r="L38" s="25" t="s">
        <v>999</v>
      </c>
      <c r="M38" s="167">
        <f>SUM(M39:M42)</f>
        <v>79</v>
      </c>
      <c r="N38" s="183">
        <v>0.22</v>
      </c>
      <c r="O38" s="417">
        <v>1.89</v>
      </c>
      <c r="P38" s="153">
        <v>107</v>
      </c>
      <c r="Q38" s="153">
        <v>79</v>
      </c>
      <c r="R38" s="153">
        <v>28</v>
      </c>
      <c r="S38" s="154">
        <f>SUM(S39:S42)</f>
        <v>79</v>
      </c>
      <c r="T38" s="153">
        <v>79</v>
      </c>
      <c r="U38" s="217">
        <v>0</v>
      </c>
    </row>
    <row r="39" spans="12:30" s="15" customFormat="1" ht="24.75" customHeight="1" hidden="1">
      <c r="L39" s="26" t="s">
        <v>941</v>
      </c>
      <c r="M39" s="167">
        <v>27</v>
      </c>
      <c r="N39" s="183">
        <f>M39/90</f>
        <v>0.3</v>
      </c>
      <c r="O39" s="417">
        <v>0.65</v>
      </c>
      <c r="P39" s="153">
        <v>35</v>
      </c>
      <c r="Q39" s="153">
        <v>27</v>
      </c>
      <c r="R39" s="153">
        <v>8</v>
      </c>
      <c r="S39" s="154">
        <v>27</v>
      </c>
      <c r="T39" s="153">
        <v>25</v>
      </c>
      <c r="U39" s="217">
        <v>2</v>
      </c>
      <c r="Z39" s="8"/>
      <c r="AA39" s="52"/>
      <c r="AB39" s="8"/>
      <c r="AC39" s="8"/>
      <c r="AD39" s="8"/>
    </row>
    <row r="40" spans="12:30" s="15" customFormat="1" ht="24.75" customHeight="1" hidden="1">
      <c r="L40" s="26" t="s">
        <v>939</v>
      </c>
      <c r="M40" s="167">
        <v>10</v>
      </c>
      <c r="N40" s="183">
        <f>M40/90</f>
        <v>0.1111111111111111</v>
      </c>
      <c r="O40" s="417">
        <v>0.24</v>
      </c>
      <c r="P40" s="153">
        <v>12</v>
      </c>
      <c r="Q40" s="153">
        <v>10</v>
      </c>
      <c r="R40" s="153">
        <v>2</v>
      </c>
      <c r="S40" s="154">
        <v>10</v>
      </c>
      <c r="T40" s="153">
        <v>8</v>
      </c>
      <c r="U40" s="217">
        <v>2</v>
      </c>
      <c r="Z40" s="8"/>
      <c r="AA40" s="52"/>
      <c r="AB40" s="8"/>
      <c r="AC40" s="8"/>
      <c r="AD40" s="8"/>
    </row>
    <row r="41" spans="12:30" s="15" customFormat="1" ht="24.75" customHeight="1" hidden="1">
      <c r="L41" s="26" t="s">
        <v>1327</v>
      </c>
      <c r="M41" s="167">
        <v>18</v>
      </c>
      <c r="N41" s="183">
        <f>M41/90</f>
        <v>0.2</v>
      </c>
      <c r="O41" s="417">
        <v>0.43</v>
      </c>
      <c r="P41" s="153">
        <v>31</v>
      </c>
      <c r="Q41" s="153">
        <v>18</v>
      </c>
      <c r="R41" s="153">
        <v>13</v>
      </c>
      <c r="S41" s="154">
        <v>18</v>
      </c>
      <c r="T41" s="153">
        <v>16</v>
      </c>
      <c r="U41" s="217">
        <v>2</v>
      </c>
      <c r="Z41" s="8"/>
      <c r="AA41" s="52"/>
      <c r="AB41" s="8"/>
      <c r="AC41" s="8"/>
      <c r="AD41" s="8"/>
    </row>
    <row r="42" spans="12:30" s="15" customFormat="1" ht="24.75" customHeight="1" hidden="1">
      <c r="L42" s="26" t="s">
        <v>108</v>
      </c>
      <c r="M42" s="167">
        <v>24</v>
      </c>
      <c r="N42" s="183">
        <f>M42/90</f>
        <v>0.26666666666666666</v>
      </c>
      <c r="O42" s="417">
        <v>0.57</v>
      </c>
      <c r="P42" s="153">
        <v>28</v>
      </c>
      <c r="Q42" s="153">
        <v>25</v>
      </c>
      <c r="R42" s="153">
        <v>3</v>
      </c>
      <c r="S42" s="154">
        <v>24</v>
      </c>
      <c r="T42" s="153">
        <v>24</v>
      </c>
      <c r="U42" s="217">
        <v>0</v>
      </c>
      <c r="Z42" s="8"/>
      <c r="AA42" s="52"/>
      <c r="AB42" s="8"/>
      <c r="AC42" s="8"/>
      <c r="AD42" s="8"/>
    </row>
    <row r="43" spans="12:30" s="15" customFormat="1" ht="24.75" customHeight="1">
      <c r="L43" s="25" t="s">
        <v>940</v>
      </c>
      <c r="M43" s="167">
        <f>SUM(M44:M47)</f>
        <v>71</v>
      </c>
      <c r="N43" s="183">
        <f>ROUND(M43/360,2)</f>
        <v>0.2</v>
      </c>
      <c r="O43" s="417">
        <f>M43/'[12]交通事故'!$M$95*10000</f>
        <v>1.6572406243362285</v>
      </c>
      <c r="P43" s="153">
        <f>SUM(P44:P47)</f>
        <v>103</v>
      </c>
      <c r="Q43" s="153">
        <f>SUM(Q44:Q47)</f>
        <v>74</v>
      </c>
      <c r="R43" s="153">
        <f>SUM(R44:R47)</f>
        <v>29</v>
      </c>
      <c r="S43" s="154">
        <f>SUM(S44:S47)</f>
        <v>71</v>
      </c>
      <c r="T43" s="153">
        <v>71</v>
      </c>
      <c r="U43" s="217">
        <v>0</v>
      </c>
      <c r="Z43" s="8"/>
      <c r="AA43" s="52"/>
      <c r="AB43" s="8"/>
      <c r="AC43" s="8"/>
      <c r="AD43" s="8"/>
    </row>
    <row r="44" spans="12:30" s="15" customFormat="1" ht="24.75" customHeight="1" hidden="1">
      <c r="L44" s="26" t="s">
        <v>941</v>
      </c>
      <c r="M44" s="167">
        <v>14</v>
      </c>
      <c r="N44" s="183">
        <f>M44/90</f>
        <v>0.15555555555555556</v>
      </c>
      <c r="O44" s="417">
        <v>0.33</v>
      </c>
      <c r="P44" s="153">
        <v>28</v>
      </c>
      <c r="Q44" s="153">
        <v>14</v>
      </c>
      <c r="R44" s="153">
        <v>14</v>
      </c>
      <c r="S44" s="154">
        <v>14</v>
      </c>
      <c r="T44" s="153">
        <v>14</v>
      </c>
      <c r="U44" s="217">
        <v>0</v>
      </c>
      <c r="W44" s="99"/>
      <c r="X44" s="45"/>
      <c r="Y44" s="8"/>
      <c r="Z44" s="8"/>
      <c r="AA44" s="52"/>
      <c r="AB44" s="8"/>
      <c r="AC44" s="8"/>
      <c r="AD44" s="8"/>
    </row>
    <row r="45" spans="12:30" s="15" customFormat="1" ht="24.75" customHeight="1" hidden="1">
      <c r="L45" s="26" t="s">
        <v>939</v>
      </c>
      <c r="M45" s="167">
        <v>20</v>
      </c>
      <c r="N45" s="183">
        <v>0.22</v>
      </c>
      <c r="O45" s="417">
        <v>0.47</v>
      </c>
      <c r="P45" s="153">
        <v>31</v>
      </c>
      <c r="Q45" s="153">
        <v>23</v>
      </c>
      <c r="R45" s="153">
        <v>8</v>
      </c>
      <c r="S45" s="154">
        <v>20</v>
      </c>
      <c r="T45" s="153">
        <v>17</v>
      </c>
      <c r="U45" s="153">
        <v>3</v>
      </c>
      <c r="W45" s="99"/>
      <c r="X45" s="45"/>
      <c r="Y45" s="8"/>
      <c r="Z45" s="8"/>
      <c r="AA45" s="52"/>
      <c r="AB45" s="8"/>
      <c r="AC45" s="8"/>
      <c r="AD45" s="8"/>
    </row>
    <row r="46" spans="12:30" s="15" customFormat="1" ht="24.75" customHeight="1" hidden="1">
      <c r="L46" s="26" t="s">
        <v>1327</v>
      </c>
      <c r="M46" s="167">
        <f>SUM('[5]Sheet1'!$K$11:$K$13)</f>
        <v>16</v>
      </c>
      <c r="N46" s="183">
        <f>ROUND(M46/90,2)</f>
        <v>0.18</v>
      </c>
      <c r="O46" s="417">
        <f>M46/'[3]交通事故'!$M$92*10000</f>
        <v>0.3765574179457851</v>
      </c>
      <c r="P46" s="153">
        <f>SUM('[3]交通事故'!$F$90:$F$92)</f>
        <v>20</v>
      </c>
      <c r="Q46" s="153">
        <v>16</v>
      </c>
      <c r="R46" s="153">
        <v>4</v>
      </c>
      <c r="S46" s="154">
        <f>SUM('[3]交通事故'!$I$90:$L$92)</f>
        <v>16</v>
      </c>
      <c r="T46" s="153">
        <v>13</v>
      </c>
      <c r="U46" s="153">
        <v>3</v>
      </c>
      <c r="Z46" s="8"/>
      <c r="AA46" s="52"/>
      <c r="AB46" s="8"/>
      <c r="AC46" s="8"/>
      <c r="AD46" s="8"/>
    </row>
    <row r="47" spans="12:30" s="15" customFormat="1" ht="24.75" customHeight="1">
      <c r="L47" s="26" t="s">
        <v>109</v>
      </c>
      <c r="M47" s="167">
        <f>SUM('[12]交通事故'!C$93:C$95)</f>
        <v>21</v>
      </c>
      <c r="N47" s="183">
        <f>ROUND(M47/90,2)</f>
        <v>0.23</v>
      </c>
      <c r="O47" s="417">
        <f>M47/'[12]交通事故'!$M$95*10000</f>
        <v>0.49016976212761687</v>
      </c>
      <c r="P47" s="153">
        <f>SUM('[12]交通事故'!F$93:F$95)</f>
        <v>24</v>
      </c>
      <c r="Q47" s="153">
        <f>SUM('[12]交通事故'!G$93:G$95)</f>
        <v>21</v>
      </c>
      <c r="R47" s="153">
        <f>SUM('[12]交通事故'!H$93:H$95)</f>
        <v>3</v>
      </c>
      <c r="S47" s="154">
        <f>SUM('[12]交通事故'!$I$93:$L$95)</f>
        <v>21</v>
      </c>
      <c r="T47" s="153">
        <f>SUM('[12]交通事故'!$I$93:$L$95)</f>
        <v>21</v>
      </c>
      <c r="U47" s="217">
        <v>0</v>
      </c>
      <c r="Z47" s="8"/>
      <c r="AA47" s="52"/>
      <c r="AB47" s="8"/>
      <c r="AC47" s="8"/>
      <c r="AD47" s="8"/>
    </row>
    <row r="48" spans="12:30" s="15" customFormat="1" ht="24.75" customHeight="1">
      <c r="L48" s="25" t="s">
        <v>224</v>
      </c>
      <c r="M48" s="167">
        <f>SUM(M49:M52)</f>
        <v>56</v>
      </c>
      <c r="N48" s="183">
        <f>ROUND(M48/360,2)</f>
        <v>0.16</v>
      </c>
      <c r="O48" s="417">
        <f>M48/'[23]交通事故'!$M$96*10000</f>
        <v>1.2951300796273726</v>
      </c>
      <c r="P48" s="153">
        <f aca="true" t="shared" si="2" ref="P48:U48">SUM(P49:P52)</f>
        <v>80</v>
      </c>
      <c r="Q48" s="153">
        <f t="shared" si="2"/>
        <v>56</v>
      </c>
      <c r="R48" s="153">
        <f t="shared" si="2"/>
        <v>24</v>
      </c>
      <c r="S48" s="154">
        <f t="shared" si="2"/>
        <v>56</v>
      </c>
      <c r="T48" s="153">
        <f t="shared" si="2"/>
        <v>55</v>
      </c>
      <c r="U48" s="154">
        <f t="shared" si="2"/>
        <v>1</v>
      </c>
      <c r="Z48" s="8"/>
      <c r="AA48" s="52"/>
      <c r="AB48" s="8"/>
      <c r="AC48" s="8"/>
      <c r="AD48" s="8"/>
    </row>
    <row r="49" spans="12:30" s="15" customFormat="1" ht="24.75" customHeight="1">
      <c r="L49" s="26" t="s">
        <v>941</v>
      </c>
      <c r="M49" s="167">
        <f>'[15]交通事故'!$C$97+'[15]交通事故'!$C$98+'[15]交通事故'!$C$99</f>
        <v>17</v>
      </c>
      <c r="N49" s="183">
        <f>ROUND(M49/90,2)</f>
        <v>0.19</v>
      </c>
      <c r="O49" s="417">
        <f>M49/'[15]交通事故'!$M$99*10000</f>
        <v>0.3973559467823518</v>
      </c>
      <c r="P49" s="153">
        <f>SUM('[15]交通事故'!F$97:F$99)</f>
        <v>22</v>
      </c>
      <c r="Q49" s="153">
        <f>SUM('[15]交通事故'!G$97:G$99)</f>
        <v>17</v>
      </c>
      <c r="R49" s="153">
        <f>SUM('[15]交通事故'!H$97:H$99)</f>
        <v>5</v>
      </c>
      <c r="S49" s="154">
        <f>SUM('[15]交通事故'!$I$97:$L$99)</f>
        <v>17</v>
      </c>
      <c r="T49" s="153">
        <f>'[15]交通事故'!$C$97+'[15]交通事故'!$C$98+'[15]交通事故'!$C$99</f>
        <v>17</v>
      </c>
      <c r="U49" s="217">
        <v>0</v>
      </c>
      <c r="W49" s="99"/>
      <c r="X49" s="45"/>
      <c r="Y49" s="8"/>
      <c r="Z49" s="8"/>
      <c r="AA49" s="52"/>
      <c r="AB49" s="8"/>
      <c r="AC49" s="8"/>
      <c r="AD49" s="8"/>
    </row>
    <row r="50" spans="12:30" s="15" customFormat="1" ht="24.75" customHeight="1">
      <c r="L50" s="26" t="s">
        <v>942</v>
      </c>
      <c r="M50" s="167">
        <f>'[18]交通事故'!$C$100+'[18]交通事故'!$C$101+'[18]交通事故'!$C$102</f>
        <v>11</v>
      </c>
      <c r="N50" s="183">
        <f>ROUND(M50/90,2)</f>
        <v>0.12</v>
      </c>
      <c r="O50" s="417">
        <f>M50/'[18]交通事故'!$M$102*10000</f>
        <v>0.25662440918062157</v>
      </c>
      <c r="P50" s="153">
        <f>SUM('[18]交通事故'!F$100:F$102)</f>
        <v>18</v>
      </c>
      <c r="Q50" s="153">
        <f>SUM('[18]交通事故'!G$100:G$102)</f>
        <v>11</v>
      </c>
      <c r="R50" s="153">
        <f>SUM('[18]交通事故'!H$100:H$102)</f>
        <v>7</v>
      </c>
      <c r="S50" s="154">
        <f>SUM('[18]交通事故'!$I$100:$L$102)</f>
        <v>11</v>
      </c>
      <c r="T50" s="153">
        <f>'[18]交通事故'!$C$100+'[18]交通事故'!$C$101+'[18]交通事故'!$C$102</f>
        <v>11</v>
      </c>
      <c r="U50" s="217">
        <v>0</v>
      </c>
      <c r="W50" s="99"/>
      <c r="X50" s="45"/>
      <c r="Y50" s="8"/>
      <c r="Z50" s="8"/>
      <c r="AA50" s="52"/>
      <c r="AB50" s="8"/>
      <c r="AC50" s="8"/>
      <c r="AD50" s="8"/>
    </row>
    <row r="51" spans="12:30" s="15" customFormat="1" ht="24.75" customHeight="1">
      <c r="L51" s="26" t="s">
        <v>1327</v>
      </c>
      <c r="M51" s="158">
        <f>S51</f>
        <v>17</v>
      </c>
      <c r="N51" s="183">
        <f>ROUND(M51/90,2)</f>
        <v>0.19</v>
      </c>
      <c r="O51" s="417">
        <f>M51/'[20]交通事故'!$M$105*10000</f>
        <v>0.39423855142841907</v>
      </c>
      <c r="P51" s="153">
        <f>SUM('[20]交通事故'!F$103:F$105)</f>
        <v>24</v>
      </c>
      <c r="Q51" s="153">
        <f>SUM('[20]交通事故'!G$103:G$105)</f>
        <v>17</v>
      </c>
      <c r="R51" s="153">
        <f>SUM('[20]交通事故'!H$103:H$105)</f>
        <v>7</v>
      </c>
      <c r="S51" s="154">
        <f>SUM('[20]交通事故'!$I$103:$L$105)</f>
        <v>17</v>
      </c>
      <c r="T51" s="154">
        <f>S51-U51</f>
        <v>16</v>
      </c>
      <c r="U51" s="132">
        <v>1</v>
      </c>
      <c r="Z51" s="8"/>
      <c r="AA51" s="52"/>
      <c r="AB51" s="8"/>
      <c r="AC51" s="8"/>
      <c r="AD51" s="8"/>
    </row>
    <row r="52" spans="12:30" s="15" customFormat="1" ht="24.75" customHeight="1" thickBot="1">
      <c r="L52" s="26" t="s">
        <v>109</v>
      </c>
      <c r="M52" s="158">
        <f>S52</f>
        <v>11</v>
      </c>
      <c r="N52" s="183">
        <f>ROUND(M52/90,2)</f>
        <v>0.12</v>
      </c>
      <c r="O52" s="417">
        <f>M52/'[23]交通事故'!$M$108*10000</f>
        <v>0.25440055135537676</v>
      </c>
      <c r="P52" s="153">
        <f>SUM('[23]交通事故'!F$106:F$108)</f>
        <v>16</v>
      </c>
      <c r="Q52" s="153">
        <f>SUM('[23]交通事故'!G$106:G$108)</f>
        <v>11</v>
      </c>
      <c r="R52" s="153">
        <f>SUM('[23]交通事故'!H$106:H$108)</f>
        <v>5</v>
      </c>
      <c r="S52" s="154">
        <f>SUM('[23]交通事故'!$I$106:$L$108)</f>
        <v>11</v>
      </c>
      <c r="T52" s="154">
        <f>S52-U52</f>
        <v>11</v>
      </c>
      <c r="U52" s="219">
        <v>0</v>
      </c>
      <c r="Z52" s="8"/>
      <c r="AA52" s="52"/>
      <c r="AB52" s="8"/>
      <c r="AC52" s="8"/>
      <c r="AD52" s="8"/>
    </row>
    <row r="53" spans="12:21" ht="24.75" customHeight="1" thickBot="1">
      <c r="L53" s="1161" t="s">
        <v>1000</v>
      </c>
      <c r="M53" s="1223">
        <f>(M52-M51)/M51*100</f>
        <v>-35.294117647058826</v>
      </c>
      <c r="N53" s="1223">
        <f>(N52-N51)/N51*100</f>
        <v>-36.8421052631579</v>
      </c>
      <c r="O53" s="53" t="s">
        <v>1001</v>
      </c>
      <c r="P53" s="1223">
        <f>(P52-P51)/P51*100</f>
        <v>-33.33333333333333</v>
      </c>
      <c r="Q53" s="54" t="s">
        <v>1002</v>
      </c>
      <c r="R53" s="54" t="s">
        <v>1002</v>
      </c>
      <c r="S53" s="1223">
        <f>(S52-S51)/S51*100</f>
        <v>-35.294117647058826</v>
      </c>
      <c r="T53" s="54" t="s">
        <v>1003</v>
      </c>
      <c r="U53" s="54" t="s">
        <v>1003</v>
      </c>
    </row>
    <row r="54" spans="12:21" ht="24.75" customHeight="1" thickBot="1">
      <c r="L54" s="1219"/>
      <c r="M54" s="1224"/>
      <c r="N54" s="1224"/>
      <c r="O54" s="421">
        <f>O52-O51</f>
        <v>-0.1398380000730423</v>
      </c>
      <c r="P54" s="1224"/>
      <c r="Q54" s="300">
        <f>Q52-Q51</f>
        <v>-6</v>
      </c>
      <c r="R54" s="677">
        <f>R52-R51</f>
        <v>-2</v>
      </c>
      <c r="S54" s="1224"/>
      <c r="T54" s="300">
        <f>T52-T51</f>
        <v>-5</v>
      </c>
      <c r="U54" s="300">
        <f>U52-U51</f>
        <v>-1</v>
      </c>
    </row>
    <row r="55" spans="12:26" ht="24.75" customHeight="1" thickBot="1">
      <c r="L55" s="1161" t="s">
        <v>1004</v>
      </c>
      <c r="M55" s="1223">
        <f>(M52-M47)/M47*100</f>
        <v>-47.61904761904761</v>
      </c>
      <c r="N55" s="1223">
        <f>(N52-N47)/N47*100</f>
        <v>-47.82608695652174</v>
      </c>
      <c r="O55" s="53" t="s">
        <v>1001</v>
      </c>
      <c r="P55" s="1223">
        <f>(P52-P47)/P47*100</f>
        <v>-33.33333333333333</v>
      </c>
      <c r="Q55" s="54" t="s">
        <v>1002</v>
      </c>
      <c r="R55" s="54" t="s">
        <v>1002</v>
      </c>
      <c r="S55" s="1223">
        <f>(S52-S47)/S47*100</f>
        <v>-47.61904761904761</v>
      </c>
      <c r="T55" s="54" t="s">
        <v>1003</v>
      </c>
      <c r="U55" s="54" t="s">
        <v>1003</v>
      </c>
      <c r="Z55" s="15"/>
    </row>
    <row r="56" spans="12:21" ht="24.75" customHeight="1" thickBot="1">
      <c r="L56" s="1162"/>
      <c r="M56" s="1224"/>
      <c r="N56" s="1224"/>
      <c r="O56" s="421">
        <f>O52-O47</f>
        <v>-0.2357692107722401</v>
      </c>
      <c r="P56" s="1224"/>
      <c r="Q56" s="300">
        <f>Q52-Q47</f>
        <v>-10</v>
      </c>
      <c r="R56" s="300">
        <f>R52-R47</f>
        <v>2</v>
      </c>
      <c r="S56" s="1224"/>
      <c r="T56" s="300">
        <f>T52-T47</f>
        <v>-10</v>
      </c>
      <c r="U56" s="400">
        <f>U52-U47</f>
        <v>0</v>
      </c>
    </row>
    <row r="57" spans="12:25" ht="24.75" customHeight="1">
      <c r="L57" s="2" t="s">
        <v>1005</v>
      </c>
      <c r="W57" s="20" t="s">
        <v>925</v>
      </c>
      <c r="X57" s="8">
        <v>94</v>
      </c>
      <c r="Y57" s="8">
        <v>143</v>
      </c>
    </row>
    <row r="58" spans="23:25" ht="24.75" customHeight="1">
      <c r="W58" s="20" t="s">
        <v>927</v>
      </c>
      <c r="X58" s="8">
        <v>96</v>
      </c>
      <c r="Y58" s="8">
        <v>119</v>
      </c>
    </row>
    <row r="59" spans="2:25" ht="24.75" customHeight="1">
      <c r="B59" s="57"/>
      <c r="C59" s="58"/>
      <c r="D59" s="58"/>
      <c r="E59" s="58"/>
      <c r="F59" s="58"/>
      <c r="G59" s="58"/>
      <c r="H59" s="58"/>
      <c r="I59" s="58"/>
      <c r="J59" s="58"/>
      <c r="K59" s="58"/>
      <c r="W59" s="20" t="s">
        <v>929</v>
      </c>
      <c r="X59" s="8">
        <v>87</v>
      </c>
      <c r="Y59" s="8">
        <v>127</v>
      </c>
    </row>
    <row r="60" spans="2:29" ht="135" customHeight="1">
      <c r="B60" s="937" t="s">
        <v>1282</v>
      </c>
      <c r="C60" s="937"/>
      <c r="D60" s="937"/>
      <c r="E60" s="937"/>
      <c r="F60" s="937"/>
      <c r="G60" s="937"/>
      <c r="H60" s="937"/>
      <c r="I60" s="937"/>
      <c r="J60" s="937"/>
      <c r="K60" s="265"/>
      <c r="L60" s="937" t="s">
        <v>1283</v>
      </c>
      <c r="M60" s="937"/>
      <c r="N60" s="937"/>
      <c r="O60" s="937"/>
      <c r="P60" s="937"/>
      <c r="Q60" s="937"/>
      <c r="R60" s="937"/>
      <c r="S60" s="937"/>
      <c r="T60" s="937"/>
      <c r="U60" s="937"/>
      <c r="W60" s="20" t="s">
        <v>930</v>
      </c>
      <c r="X60" s="8">
        <v>81</v>
      </c>
      <c r="Y60" s="8">
        <v>130</v>
      </c>
      <c r="AA60" s="52"/>
      <c r="AB60" s="55" t="s">
        <v>1383</v>
      </c>
      <c r="AC60" s="38" t="s">
        <v>1382</v>
      </c>
    </row>
    <row r="61" spans="23:29" ht="24.75" customHeight="1">
      <c r="W61" s="36" t="s">
        <v>932</v>
      </c>
      <c r="X61" s="8">
        <v>68</v>
      </c>
      <c r="Y61" s="8">
        <v>142</v>
      </c>
      <c r="AA61" s="8" t="s">
        <v>241</v>
      </c>
      <c r="AB61" s="8">
        <v>21</v>
      </c>
      <c r="AC61" s="8">
        <v>24</v>
      </c>
    </row>
    <row r="62" spans="23:29" ht="24.75" customHeight="1">
      <c r="W62" s="36" t="s">
        <v>933</v>
      </c>
      <c r="X62" s="8">
        <v>85</v>
      </c>
      <c r="Y62" s="8">
        <v>112</v>
      </c>
      <c r="AA62" s="8" t="s">
        <v>225</v>
      </c>
      <c r="AB62" s="8">
        <v>17</v>
      </c>
      <c r="AC62" s="8">
        <v>22</v>
      </c>
    </row>
    <row r="63" spans="22:29" ht="24.75" customHeight="1">
      <c r="V63" s="15"/>
      <c r="W63" s="36" t="s">
        <v>922</v>
      </c>
      <c r="X63" s="8">
        <v>97</v>
      </c>
      <c r="Y63" s="8">
        <v>145</v>
      </c>
      <c r="AA63" s="56" t="s">
        <v>1326</v>
      </c>
      <c r="AB63" s="8">
        <v>11</v>
      </c>
      <c r="AC63" s="8">
        <v>18</v>
      </c>
    </row>
    <row r="64" spans="23:29" ht="24.75" customHeight="1">
      <c r="W64" s="36" t="s">
        <v>1321</v>
      </c>
      <c r="X64" s="8">
        <v>78</v>
      </c>
      <c r="Y64" s="8">
        <v>106</v>
      </c>
      <c r="AA64" s="134" t="s">
        <v>920</v>
      </c>
      <c r="AB64" s="8">
        <v>17</v>
      </c>
      <c r="AC64" s="8">
        <v>24</v>
      </c>
    </row>
    <row r="65" spans="23:29" ht="24.75" customHeight="1">
      <c r="W65" s="36" t="s">
        <v>1323</v>
      </c>
      <c r="X65" s="8">
        <v>79</v>
      </c>
      <c r="Y65" s="8">
        <v>106</v>
      </c>
      <c r="AA65" s="134" t="s">
        <v>242</v>
      </c>
      <c r="AB65" s="8">
        <v>11</v>
      </c>
      <c r="AC65" s="8">
        <v>16</v>
      </c>
    </row>
    <row r="66" ht="24.75" customHeight="1">
      <c r="AA66" s="134"/>
    </row>
    <row r="237" ht="24.75" customHeight="1"/>
  </sheetData>
  <mergeCells count="21">
    <mergeCell ref="S55:S56"/>
    <mergeCell ref="B1:J1"/>
    <mergeCell ref="P55:P56"/>
    <mergeCell ref="M2:M3"/>
    <mergeCell ref="P53:P54"/>
    <mergeCell ref="P2:R2"/>
    <mergeCell ref="M1:T1"/>
    <mergeCell ref="N55:N56"/>
    <mergeCell ref="O2:O3"/>
    <mergeCell ref="S53:S54"/>
    <mergeCell ref="N2:N3"/>
    <mergeCell ref="B60:J60"/>
    <mergeCell ref="L53:L54"/>
    <mergeCell ref="L55:L56"/>
    <mergeCell ref="B2:J3"/>
    <mergeCell ref="L2:L3"/>
    <mergeCell ref="L60:U60"/>
    <mergeCell ref="S2:U2"/>
    <mergeCell ref="M53:M54"/>
    <mergeCell ref="N53:N54"/>
    <mergeCell ref="M55:M56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V94"/>
  <sheetViews>
    <sheetView workbookViewId="0" topLeftCell="B1">
      <selection activeCell="B1" sqref="B1:J1"/>
    </sheetView>
  </sheetViews>
  <sheetFormatPr defaultColWidth="9.00390625" defaultRowHeight="24.75" customHeight="1"/>
  <cols>
    <col min="1" max="1" width="2.625" style="0" customWidth="1"/>
    <col min="2" max="10" width="9.75390625" style="0" customWidth="1"/>
    <col min="11" max="11" width="2.625" style="0" customWidth="1"/>
    <col min="12" max="12" width="14.625" style="3" customWidth="1"/>
    <col min="13" max="14" width="11.25390625" style="3" customWidth="1"/>
    <col min="15" max="15" width="12.625" style="3" customWidth="1"/>
    <col min="16" max="16" width="11.25390625" style="3" customWidth="1"/>
    <col min="17" max="17" width="9.875" style="3" customWidth="1"/>
    <col min="18" max="18" width="10.375" style="3" customWidth="1"/>
    <col min="19" max="19" width="12.125" style="3" customWidth="1"/>
    <col min="20" max="20" width="11.875" style="0" customWidth="1"/>
    <col min="21" max="21" width="15.125" style="0" customWidth="1"/>
  </cols>
  <sheetData>
    <row r="1" spans="2:19" ht="49.5" customHeight="1" thickBot="1">
      <c r="B1" s="869" t="s">
        <v>1377</v>
      </c>
      <c r="C1" s="869"/>
      <c r="D1" s="869"/>
      <c r="E1" s="869"/>
      <c r="F1" s="869"/>
      <c r="G1" s="869"/>
      <c r="H1" s="869"/>
      <c r="I1" s="869"/>
      <c r="J1" s="869"/>
      <c r="K1" s="250"/>
      <c r="L1" s="1229" t="s">
        <v>1006</v>
      </c>
      <c r="M1" s="1230"/>
      <c r="N1" s="1230"/>
      <c r="O1" s="1230"/>
      <c r="P1" s="1230"/>
      <c r="Q1" s="1230"/>
      <c r="R1" s="1230"/>
      <c r="S1" s="1230"/>
    </row>
    <row r="2" spans="2:22" s="2" customFormat="1" ht="30.75" customHeight="1">
      <c r="B2" s="1193" t="s">
        <v>245</v>
      </c>
      <c r="C2" s="1193"/>
      <c r="D2" s="1193"/>
      <c r="E2" s="1193"/>
      <c r="F2" s="1193"/>
      <c r="G2" s="1193"/>
      <c r="H2" s="1193"/>
      <c r="I2" s="1193"/>
      <c r="J2" s="1193"/>
      <c r="K2" s="398"/>
      <c r="L2" s="997" t="s">
        <v>1411</v>
      </c>
      <c r="M2" s="1248" t="s">
        <v>1412</v>
      </c>
      <c r="N2" s="1237" t="s">
        <v>1413</v>
      </c>
      <c r="O2" s="1238"/>
      <c r="P2" s="1238"/>
      <c r="Q2" s="1238"/>
      <c r="R2" s="1238"/>
      <c r="S2" s="1238"/>
      <c r="U2" s="41"/>
      <c r="V2" s="4"/>
    </row>
    <row r="3" spans="2:22" s="14" customFormat="1" ht="30.75" customHeight="1">
      <c r="B3" s="1193"/>
      <c r="C3" s="1193"/>
      <c r="D3" s="1193"/>
      <c r="E3" s="1193"/>
      <c r="F3" s="1193"/>
      <c r="G3" s="1193"/>
      <c r="H3" s="1193"/>
      <c r="I3" s="1193"/>
      <c r="J3" s="1193"/>
      <c r="K3" s="398"/>
      <c r="L3" s="1242"/>
      <c r="M3" s="1249"/>
      <c r="N3" s="1235" t="s">
        <v>1414</v>
      </c>
      <c r="O3" s="1241" t="s">
        <v>1410</v>
      </c>
      <c r="P3" s="1241" t="s">
        <v>1415</v>
      </c>
      <c r="Q3" s="1235" t="s">
        <v>1416</v>
      </c>
      <c r="R3" s="1236"/>
      <c r="S3" s="1239" t="s">
        <v>1211</v>
      </c>
      <c r="U3" s="531"/>
      <c r="V3" s="4"/>
    </row>
    <row r="4" spans="2:22" s="14" customFormat="1" ht="30.75" customHeight="1" thickBot="1">
      <c r="B4" s="1193"/>
      <c r="C4" s="1193"/>
      <c r="D4" s="1193"/>
      <c r="E4" s="1193"/>
      <c r="F4" s="1193"/>
      <c r="G4" s="1193"/>
      <c r="H4" s="1193"/>
      <c r="I4" s="1193"/>
      <c r="J4" s="1193"/>
      <c r="K4" s="398"/>
      <c r="L4" s="1243"/>
      <c r="M4" s="1250"/>
      <c r="N4" s="1251"/>
      <c r="O4" s="1234"/>
      <c r="P4" s="1234"/>
      <c r="Q4" s="46" t="s">
        <v>944</v>
      </c>
      <c r="R4" s="46" t="s">
        <v>1409</v>
      </c>
      <c r="S4" s="1240"/>
      <c r="U4" s="652"/>
      <c r="V4" s="4"/>
    </row>
    <row r="5" spans="2:22" ht="24.75" customHeight="1" hidden="1">
      <c r="B5" s="488"/>
      <c r="C5" s="488"/>
      <c r="D5" s="488"/>
      <c r="E5" s="488"/>
      <c r="F5" s="488"/>
      <c r="G5" s="488"/>
      <c r="H5" s="488"/>
      <c r="I5" s="488"/>
      <c r="J5" s="488"/>
      <c r="K5" s="402"/>
      <c r="L5" s="17" t="s">
        <v>1103</v>
      </c>
      <c r="M5" s="388">
        <v>9181</v>
      </c>
      <c r="N5" s="217">
        <v>295</v>
      </c>
      <c r="O5" s="422">
        <f>N5/360</f>
        <v>0.8194444444444444</v>
      </c>
      <c r="P5" s="217">
        <v>29</v>
      </c>
      <c r="Q5" s="217">
        <v>8</v>
      </c>
      <c r="R5" s="217">
        <v>4</v>
      </c>
      <c r="S5" s="217">
        <v>15928</v>
      </c>
      <c r="U5" s="652"/>
      <c r="V5" s="4"/>
    </row>
    <row r="6" spans="2:22" ht="24.75" customHeight="1" hidden="1">
      <c r="B6" s="488"/>
      <c r="C6" s="488"/>
      <c r="D6" s="488"/>
      <c r="E6" s="488"/>
      <c r="F6" s="488"/>
      <c r="G6" s="488"/>
      <c r="H6" s="488"/>
      <c r="I6" s="488"/>
      <c r="J6" s="488"/>
      <c r="K6" s="403"/>
      <c r="L6" s="19" t="s">
        <v>982</v>
      </c>
      <c r="M6" s="388">
        <v>8669</v>
      </c>
      <c r="N6" s="217">
        <v>409</v>
      </c>
      <c r="O6" s="422">
        <f>N6/360</f>
        <v>1.136111111111111</v>
      </c>
      <c r="P6" s="217">
        <v>18</v>
      </c>
      <c r="Q6" s="217">
        <v>5</v>
      </c>
      <c r="R6" s="217">
        <v>4</v>
      </c>
      <c r="S6" s="217">
        <v>77724</v>
      </c>
      <c r="U6" s="652"/>
      <c r="V6" s="4"/>
    </row>
    <row r="7" spans="12:22" ht="24.75" customHeight="1" hidden="1">
      <c r="L7" s="414"/>
      <c r="M7" s="399"/>
      <c r="N7" s="157"/>
      <c r="O7" s="423"/>
      <c r="P7" s="157"/>
      <c r="Q7" s="157"/>
      <c r="R7" s="157"/>
      <c r="S7" s="157"/>
      <c r="U7" s="653"/>
      <c r="V7" s="60"/>
    </row>
    <row r="8" spans="12:22" ht="30.75" customHeight="1" hidden="1">
      <c r="L8" s="19" t="s">
        <v>983</v>
      </c>
      <c r="M8" s="61" t="s">
        <v>1007</v>
      </c>
      <c r="N8" s="217">
        <v>331</v>
      </c>
      <c r="O8" s="422">
        <f>N8/360</f>
        <v>0.9194444444444444</v>
      </c>
      <c r="P8" s="217">
        <v>6</v>
      </c>
      <c r="Q8" s="217">
        <v>9</v>
      </c>
      <c r="R8" s="217">
        <v>9</v>
      </c>
      <c r="S8" s="217">
        <v>24133</v>
      </c>
      <c r="U8" s="7"/>
      <c r="V8" s="5"/>
    </row>
    <row r="9" spans="12:22" ht="24.75" customHeight="1" hidden="1">
      <c r="L9" s="17" t="s">
        <v>984</v>
      </c>
      <c r="M9" s="61" t="s">
        <v>1007</v>
      </c>
      <c r="N9" s="217">
        <v>320</v>
      </c>
      <c r="O9" s="422">
        <f>N9/360</f>
        <v>0.8888888888888888</v>
      </c>
      <c r="P9" s="217">
        <v>17</v>
      </c>
      <c r="Q9" s="217">
        <v>7</v>
      </c>
      <c r="R9" s="217">
        <v>12</v>
      </c>
      <c r="S9" s="217">
        <v>17253</v>
      </c>
      <c r="U9" s="654"/>
      <c r="V9" s="5"/>
    </row>
    <row r="10" spans="12:22" ht="30.75" customHeight="1" hidden="1">
      <c r="L10" s="17" t="s">
        <v>985</v>
      </c>
      <c r="M10" s="388">
        <v>9772</v>
      </c>
      <c r="N10" s="217">
        <v>354</v>
      </c>
      <c r="O10" s="422">
        <f>N10/360</f>
        <v>0.9833333333333333</v>
      </c>
      <c r="P10" s="217">
        <v>23</v>
      </c>
      <c r="Q10" s="217">
        <v>11</v>
      </c>
      <c r="R10" s="217">
        <v>15</v>
      </c>
      <c r="S10" s="217">
        <v>22971</v>
      </c>
      <c r="U10" s="654"/>
      <c r="V10" s="5"/>
    </row>
    <row r="11" spans="12:22" ht="30.75" customHeight="1">
      <c r="L11" s="17" t="s">
        <v>986</v>
      </c>
      <c r="M11" s="388">
        <v>9437</v>
      </c>
      <c r="N11" s="217">
        <v>356</v>
      </c>
      <c r="O11" s="422">
        <f>N11/360</f>
        <v>0.9888888888888889</v>
      </c>
      <c r="P11" s="217">
        <v>27</v>
      </c>
      <c r="Q11" s="217">
        <v>13</v>
      </c>
      <c r="R11" s="217">
        <v>47</v>
      </c>
      <c r="S11" s="217">
        <v>41437</v>
      </c>
      <c r="U11" s="654"/>
      <c r="V11" s="5"/>
    </row>
    <row r="12" spans="12:22" ht="30.75" customHeight="1">
      <c r="L12" s="17" t="s">
        <v>987</v>
      </c>
      <c r="M12" s="388">
        <v>9757</v>
      </c>
      <c r="N12" s="217">
        <v>410</v>
      </c>
      <c r="O12" s="422">
        <f>N12/360</f>
        <v>1.1388888888888888</v>
      </c>
      <c r="P12" s="256">
        <v>0</v>
      </c>
      <c r="Q12" s="217">
        <v>5</v>
      </c>
      <c r="R12" s="217">
        <v>7</v>
      </c>
      <c r="S12" s="217">
        <v>28995</v>
      </c>
      <c r="U12" s="655"/>
      <c r="V12" s="5"/>
    </row>
    <row r="13" spans="12:22" ht="30.75" customHeight="1">
      <c r="L13" s="17" t="s">
        <v>988</v>
      </c>
      <c r="M13" s="388">
        <v>10027</v>
      </c>
      <c r="N13" s="217">
        <v>432</v>
      </c>
      <c r="O13" s="422">
        <v>1.2</v>
      </c>
      <c r="P13" s="217">
        <v>4</v>
      </c>
      <c r="Q13" s="217">
        <v>2</v>
      </c>
      <c r="R13" s="217">
        <v>15</v>
      </c>
      <c r="S13" s="217">
        <v>17830</v>
      </c>
      <c r="U13" s="654"/>
      <c r="V13" s="5"/>
    </row>
    <row r="14" spans="12:22" ht="30.75" customHeight="1">
      <c r="L14" s="17" t="s">
        <v>989</v>
      </c>
      <c r="M14" s="388">
        <v>11624</v>
      </c>
      <c r="N14" s="217">
        <v>531</v>
      </c>
      <c r="O14" s="422">
        <f>N14/360</f>
        <v>1.475</v>
      </c>
      <c r="P14" s="256">
        <v>0</v>
      </c>
      <c r="Q14" s="217">
        <v>10</v>
      </c>
      <c r="R14" s="217">
        <v>21</v>
      </c>
      <c r="S14" s="217">
        <v>21012</v>
      </c>
      <c r="U14" s="654"/>
      <c r="V14" s="5"/>
    </row>
    <row r="15" spans="12:22" ht="24.75" customHeight="1" hidden="1">
      <c r="L15" s="23" t="s">
        <v>990</v>
      </c>
      <c r="M15" s="388">
        <v>2809</v>
      </c>
      <c r="N15" s="217">
        <v>126</v>
      </c>
      <c r="O15" s="422">
        <f>N15/90</f>
        <v>1.4</v>
      </c>
      <c r="P15" s="256">
        <v>0</v>
      </c>
      <c r="Q15" s="256">
        <v>0</v>
      </c>
      <c r="R15" s="217">
        <v>1</v>
      </c>
      <c r="S15" s="217">
        <v>5869</v>
      </c>
      <c r="T15" s="16"/>
      <c r="U15" s="654"/>
      <c r="V15" s="5"/>
    </row>
    <row r="16" spans="12:22" ht="24.75" customHeight="1" hidden="1">
      <c r="L16" s="23" t="s">
        <v>991</v>
      </c>
      <c r="M16" s="388">
        <v>2759</v>
      </c>
      <c r="N16" s="217">
        <v>69</v>
      </c>
      <c r="O16" s="422">
        <f>N16/90</f>
        <v>0.7666666666666667</v>
      </c>
      <c r="P16" s="256">
        <v>0</v>
      </c>
      <c r="Q16" s="217">
        <v>1</v>
      </c>
      <c r="R16" s="217">
        <v>6</v>
      </c>
      <c r="S16" s="217">
        <v>6174</v>
      </c>
      <c r="T16" s="16"/>
      <c r="U16" s="654"/>
      <c r="V16" s="5"/>
    </row>
    <row r="17" spans="12:22" ht="24.75" customHeight="1" hidden="1">
      <c r="L17" s="23" t="s">
        <v>992</v>
      </c>
      <c r="M17" s="388">
        <v>3018</v>
      </c>
      <c r="N17" s="217">
        <v>265</v>
      </c>
      <c r="O17" s="422">
        <f>N17/90</f>
        <v>2.9444444444444446</v>
      </c>
      <c r="P17" s="256">
        <v>0</v>
      </c>
      <c r="Q17" s="217">
        <v>3</v>
      </c>
      <c r="R17" s="217">
        <v>14</v>
      </c>
      <c r="S17" s="217">
        <v>5484</v>
      </c>
      <c r="T17" s="16"/>
      <c r="U17" s="654"/>
      <c r="V17" s="5"/>
    </row>
    <row r="18" spans="12:22" ht="24.75" customHeight="1" hidden="1">
      <c r="L18" s="23" t="s">
        <v>993</v>
      </c>
      <c r="M18" s="388">
        <v>3038</v>
      </c>
      <c r="N18" s="217">
        <v>71</v>
      </c>
      <c r="O18" s="422">
        <v>0.79</v>
      </c>
      <c r="P18" s="256">
        <v>0</v>
      </c>
      <c r="Q18" s="217">
        <v>6</v>
      </c>
      <c r="R18" s="256">
        <v>0</v>
      </c>
      <c r="S18" s="217">
        <v>3485</v>
      </c>
      <c r="T18" s="16"/>
      <c r="U18" s="654"/>
      <c r="V18" s="5"/>
    </row>
    <row r="19" spans="12:22" ht="30.75" customHeight="1">
      <c r="L19" s="17" t="s">
        <v>994</v>
      </c>
      <c r="M19" s="388">
        <v>13218</v>
      </c>
      <c r="N19" s="217">
        <v>332</v>
      </c>
      <c r="O19" s="422">
        <f>N19/360</f>
        <v>0.9222222222222223</v>
      </c>
      <c r="P19" s="217">
        <v>2</v>
      </c>
      <c r="Q19" s="217">
        <v>6</v>
      </c>
      <c r="R19" s="217">
        <v>10</v>
      </c>
      <c r="S19" s="217">
        <v>11088</v>
      </c>
      <c r="T19" s="48"/>
      <c r="U19" s="652"/>
      <c r="V19" s="5"/>
    </row>
    <row r="20" spans="12:22" ht="24.75" customHeight="1" hidden="1">
      <c r="L20" s="23" t="s">
        <v>995</v>
      </c>
      <c r="M20" s="388">
        <v>3352</v>
      </c>
      <c r="N20" s="217">
        <v>73</v>
      </c>
      <c r="O20" s="422">
        <f>N20/90</f>
        <v>0.8111111111111111</v>
      </c>
      <c r="P20" s="256">
        <v>1</v>
      </c>
      <c r="Q20" s="217">
        <v>1</v>
      </c>
      <c r="R20" s="217">
        <v>1</v>
      </c>
      <c r="S20" s="217">
        <v>1948</v>
      </c>
      <c r="T20" s="16"/>
      <c r="V20" s="4"/>
    </row>
    <row r="21" spans="12:22" ht="24.75" customHeight="1" hidden="1">
      <c r="L21" s="23" t="s">
        <v>942</v>
      </c>
      <c r="M21" s="388">
        <v>3258</v>
      </c>
      <c r="N21" s="217">
        <v>90</v>
      </c>
      <c r="O21" s="422">
        <f>N21/90</f>
        <v>1</v>
      </c>
      <c r="P21" s="256">
        <v>1</v>
      </c>
      <c r="Q21" s="217">
        <v>2</v>
      </c>
      <c r="R21" s="217">
        <v>2</v>
      </c>
      <c r="S21" s="217">
        <v>2261</v>
      </c>
      <c r="T21" s="16"/>
      <c r="U21" s="12"/>
      <c r="V21" s="4"/>
    </row>
    <row r="22" spans="12:22" ht="24.75" customHeight="1" hidden="1">
      <c r="L22" s="23" t="s">
        <v>1327</v>
      </c>
      <c r="M22" s="388">
        <v>3276</v>
      </c>
      <c r="N22" s="217">
        <v>116</v>
      </c>
      <c r="O22" s="422">
        <f>116/90</f>
        <v>1.288888888888889</v>
      </c>
      <c r="P22" s="256">
        <v>0</v>
      </c>
      <c r="Q22" s="217">
        <v>3</v>
      </c>
      <c r="R22" s="217">
        <v>3</v>
      </c>
      <c r="S22" s="217">
        <v>3956</v>
      </c>
      <c r="V22" s="4"/>
    </row>
    <row r="23" spans="12:22" ht="24.75" customHeight="1" hidden="1">
      <c r="L23" s="23" t="s">
        <v>1325</v>
      </c>
      <c r="M23" s="388">
        <v>3332</v>
      </c>
      <c r="N23" s="217">
        <v>53</v>
      </c>
      <c r="O23" s="422">
        <f>53/90</f>
        <v>0.5888888888888889</v>
      </c>
      <c r="P23" s="256">
        <v>0</v>
      </c>
      <c r="Q23" s="217">
        <v>0</v>
      </c>
      <c r="R23" s="217">
        <v>4</v>
      </c>
      <c r="S23" s="217">
        <v>2923</v>
      </c>
      <c r="V23" s="4"/>
    </row>
    <row r="24" spans="12:22" ht="30.75" customHeight="1">
      <c r="L24" s="17" t="s">
        <v>996</v>
      </c>
      <c r="M24" s="388">
        <v>14103</v>
      </c>
      <c r="N24" s="217">
        <v>286</v>
      </c>
      <c r="O24" s="422">
        <f aca="true" t="shared" si="0" ref="O24:O29">N24/360</f>
        <v>0.7944444444444444</v>
      </c>
      <c r="P24" s="256">
        <v>3</v>
      </c>
      <c r="Q24" s="217">
        <v>1</v>
      </c>
      <c r="R24" s="217">
        <v>7</v>
      </c>
      <c r="S24" s="217">
        <v>13955</v>
      </c>
      <c r="U24" s="652"/>
      <c r="V24" s="62"/>
    </row>
    <row r="25" spans="12:22" ht="24.75" customHeight="1" hidden="1">
      <c r="L25" s="26" t="s">
        <v>941</v>
      </c>
      <c r="M25" s="389">
        <v>3455</v>
      </c>
      <c r="N25" s="217">
        <v>102</v>
      </c>
      <c r="O25" s="422">
        <f t="shared" si="0"/>
        <v>0.2833333333333333</v>
      </c>
      <c r="P25" s="256">
        <v>0</v>
      </c>
      <c r="Q25" s="217">
        <v>0</v>
      </c>
      <c r="R25" s="217">
        <v>2</v>
      </c>
      <c r="S25" s="217">
        <v>3153</v>
      </c>
      <c r="V25" s="4"/>
    </row>
    <row r="26" spans="12:22" ht="24.75" customHeight="1" hidden="1">
      <c r="L26" s="26" t="s">
        <v>942</v>
      </c>
      <c r="M26" s="389">
        <v>3539</v>
      </c>
      <c r="N26" s="217">
        <v>78</v>
      </c>
      <c r="O26" s="422">
        <f t="shared" si="0"/>
        <v>0.21666666666666667</v>
      </c>
      <c r="P26" s="256">
        <v>0</v>
      </c>
      <c r="Q26" s="217">
        <v>1</v>
      </c>
      <c r="R26" s="217">
        <v>0</v>
      </c>
      <c r="S26" s="217">
        <v>1219</v>
      </c>
      <c r="V26" s="4"/>
    </row>
    <row r="27" spans="12:22" ht="24.75" customHeight="1" hidden="1">
      <c r="L27" s="26" t="s">
        <v>1327</v>
      </c>
      <c r="M27" s="389">
        <v>3508</v>
      </c>
      <c r="N27" s="217">
        <v>58</v>
      </c>
      <c r="O27" s="422">
        <f t="shared" si="0"/>
        <v>0.16111111111111112</v>
      </c>
      <c r="P27" s="256">
        <v>2</v>
      </c>
      <c r="Q27" s="217">
        <v>0</v>
      </c>
      <c r="R27" s="217">
        <v>1</v>
      </c>
      <c r="S27" s="217">
        <v>3890</v>
      </c>
      <c r="V27" s="4"/>
    </row>
    <row r="28" spans="12:22" ht="24.75" customHeight="1" hidden="1">
      <c r="L28" s="26" t="s">
        <v>1325</v>
      </c>
      <c r="M28" s="389">
        <v>3604</v>
      </c>
      <c r="N28" s="217">
        <v>48</v>
      </c>
      <c r="O28" s="422">
        <f t="shared" si="0"/>
        <v>0.13333333333333333</v>
      </c>
      <c r="P28" s="256">
        <v>1</v>
      </c>
      <c r="Q28" s="217">
        <v>0</v>
      </c>
      <c r="R28" s="217">
        <v>4</v>
      </c>
      <c r="S28" s="217">
        <v>5693</v>
      </c>
      <c r="V28" s="4"/>
    </row>
    <row r="29" spans="12:22" ht="30.75" customHeight="1">
      <c r="L29" s="25" t="s">
        <v>997</v>
      </c>
      <c r="M29" s="389">
        <v>14608</v>
      </c>
      <c r="N29" s="389">
        <v>278</v>
      </c>
      <c r="O29" s="422">
        <f t="shared" si="0"/>
        <v>0.7722222222222223</v>
      </c>
      <c r="P29" s="389">
        <f>SUM(P30:P33)</f>
        <v>6</v>
      </c>
      <c r="Q29" s="389">
        <f>SUM(Q30:Q33)</f>
        <v>3</v>
      </c>
      <c r="R29" s="389">
        <f>SUM(R30:R33)</f>
        <v>15</v>
      </c>
      <c r="S29" s="389">
        <f>SUM(S30:S33)</f>
        <v>18363</v>
      </c>
      <c r="V29" s="4"/>
    </row>
    <row r="30" spans="12:22" ht="24.75" customHeight="1" hidden="1">
      <c r="L30" s="26" t="s">
        <v>941</v>
      </c>
      <c r="M30" s="389">
        <v>3624</v>
      </c>
      <c r="N30" s="217">
        <v>82</v>
      </c>
      <c r="O30" s="422">
        <f>82/90</f>
        <v>0.9111111111111111</v>
      </c>
      <c r="P30" s="256">
        <v>1</v>
      </c>
      <c r="Q30" s="217">
        <v>0</v>
      </c>
      <c r="R30" s="217">
        <v>0</v>
      </c>
      <c r="S30" s="217">
        <v>4193</v>
      </c>
      <c r="V30" s="4"/>
    </row>
    <row r="31" spans="12:22" ht="24.75" customHeight="1" hidden="1">
      <c r="L31" s="26" t="s">
        <v>942</v>
      </c>
      <c r="M31" s="389">
        <v>3585</v>
      </c>
      <c r="N31" s="217">
        <v>78</v>
      </c>
      <c r="O31" s="422">
        <f>78/90</f>
        <v>0.8666666666666667</v>
      </c>
      <c r="P31" s="256">
        <v>2</v>
      </c>
      <c r="Q31" s="217">
        <v>1</v>
      </c>
      <c r="R31" s="217">
        <v>7</v>
      </c>
      <c r="S31" s="217">
        <v>4284</v>
      </c>
      <c r="V31" s="4"/>
    </row>
    <row r="32" spans="12:22" ht="24.75" customHeight="1" hidden="1">
      <c r="L32" s="26" t="s">
        <v>1327</v>
      </c>
      <c r="M32" s="389">
        <v>3757</v>
      </c>
      <c r="N32" s="217">
        <v>66</v>
      </c>
      <c r="O32" s="422">
        <f>N32/90</f>
        <v>0.7333333333333333</v>
      </c>
      <c r="P32" s="256">
        <v>0</v>
      </c>
      <c r="Q32" s="217">
        <v>1</v>
      </c>
      <c r="R32" s="217">
        <v>3</v>
      </c>
      <c r="S32" s="217">
        <v>6115</v>
      </c>
      <c r="V32" s="4"/>
    </row>
    <row r="33" spans="12:22" ht="24.75" customHeight="1" hidden="1">
      <c r="L33" s="26" t="s">
        <v>1325</v>
      </c>
      <c r="M33" s="389">
        <v>3642</v>
      </c>
      <c r="N33" s="217">
        <v>52</v>
      </c>
      <c r="O33" s="422">
        <f>N33/90</f>
        <v>0.5777777777777777</v>
      </c>
      <c r="P33" s="256">
        <v>3</v>
      </c>
      <c r="Q33" s="217">
        <v>1</v>
      </c>
      <c r="R33" s="217">
        <v>5</v>
      </c>
      <c r="S33" s="217">
        <v>3771</v>
      </c>
      <c r="V33" s="4"/>
    </row>
    <row r="34" spans="12:22" ht="24.75" customHeight="1" hidden="1">
      <c r="L34" s="424"/>
      <c r="M34" s="389"/>
      <c r="N34" s="217"/>
      <c r="O34" s="422">
        <f>N34/90</f>
        <v>0</v>
      </c>
      <c r="P34" s="256"/>
      <c r="Q34" s="217"/>
      <c r="R34" s="217"/>
      <c r="S34" s="217"/>
      <c r="U34" s="12"/>
      <c r="V34" s="4"/>
    </row>
    <row r="35" spans="12:22" ht="30.75" customHeight="1">
      <c r="L35" s="25" t="s">
        <v>998</v>
      </c>
      <c r="M35" s="389">
        <v>16371</v>
      </c>
      <c r="N35" s="389">
        <v>134</v>
      </c>
      <c r="O35" s="422">
        <f>N35/360</f>
        <v>0.37222222222222223</v>
      </c>
      <c r="P35" s="256">
        <v>18</v>
      </c>
      <c r="Q35" s="256">
        <v>3</v>
      </c>
      <c r="R35" s="256">
        <v>17</v>
      </c>
      <c r="S35" s="256">
        <v>25512</v>
      </c>
      <c r="V35" s="4"/>
    </row>
    <row r="36" spans="12:22" ht="24.75" customHeight="1" hidden="1">
      <c r="L36" s="26" t="s">
        <v>941</v>
      </c>
      <c r="M36" s="389">
        <v>3723</v>
      </c>
      <c r="N36" s="217">
        <v>34</v>
      </c>
      <c r="O36" s="422">
        <f>N36/90</f>
        <v>0.37777777777777777</v>
      </c>
      <c r="P36" s="256">
        <v>3</v>
      </c>
      <c r="Q36" s="217">
        <v>0</v>
      </c>
      <c r="R36" s="217">
        <v>6</v>
      </c>
      <c r="S36" s="217">
        <v>4117</v>
      </c>
      <c r="V36" s="4"/>
    </row>
    <row r="37" spans="12:22" ht="24.75" customHeight="1" hidden="1">
      <c r="L37" s="26" t="s">
        <v>942</v>
      </c>
      <c r="M37" s="389">
        <v>3663</v>
      </c>
      <c r="N37" s="217">
        <v>25</v>
      </c>
      <c r="O37" s="422">
        <f>N37/90</f>
        <v>0.2777777777777778</v>
      </c>
      <c r="P37" s="217">
        <v>7</v>
      </c>
      <c r="Q37" s="217">
        <v>0</v>
      </c>
      <c r="R37" s="217">
        <v>5</v>
      </c>
      <c r="S37" s="217">
        <v>2898</v>
      </c>
      <c r="V37" s="4"/>
    </row>
    <row r="38" spans="12:22" ht="24.75" customHeight="1" hidden="1">
      <c r="L38" s="26" t="s">
        <v>1327</v>
      </c>
      <c r="M38" s="217">
        <v>4098</v>
      </c>
      <c r="N38" s="217">
        <v>33</v>
      </c>
      <c r="O38" s="422">
        <f>N38/90</f>
        <v>0.36666666666666664</v>
      </c>
      <c r="P38" s="217">
        <v>6</v>
      </c>
      <c r="Q38" s="217">
        <v>2</v>
      </c>
      <c r="R38" s="217">
        <v>5</v>
      </c>
      <c r="S38" s="217">
        <v>2344</v>
      </c>
      <c r="V38" s="4"/>
    </row>
    <row r="39" spans="12:22" ht="24.75" customHeight="1" hidden="1">
      <c r="L39" s="26" t="s">
        <v>1325</v>
      </c>
      <c r="M39" s="217">
        <v>4887</v>
      </c>
      <c r="N39" s="217">
        <v>42</v>
      </c>
      <c r="O39" s="422">
        <f>N39/90</f>
        <v>0.4666666666666667</v>
      </c>
      <c r="P39" s="217">
        <v>2</v>
      </c>
      <c r="Q39" s="217">
        <v>1</v>
      </c>
      <c r="R39" s="217">
        <v>1</v>
      </c>
      <c r="S39" s="217">
        <v>16153</v>
      </c>
      <c r="V39" s="4"/>
    </row>
    <row r="40" spans="12:22" ht="30.75" customHeight="1">
      <c r="L40" s="25" t="s">
        <v>999</v>
      </c>
      <c r="M40" s="217">
        <v>17088</v>
      </c>
      <c r="N40" s="217">
        <v>136</v>
      </c>
      <c r="O40" s="422">
        <v>0.38</v>
      </c>
      <c r="P40" s="217">
        <v>4</v>
      </c>
      <c r="Q40" s="217">
        <v>2</v>
      </c>
      <c r="R40" s="217">
        <v>16</v>
      </c>
      <c r="S40" s="217">
        <v>27860</v>
      </c>
      <c r="V40" s="4"/>
    </row>
    <row r="41" spans="12:22" s="9" customFormat="1" ht="24.75" customHeight="1" hidden="1">
      <c r="L41" s="26" t="s">
        <v>941</v>
      </c>
      <c r="M41" s="217">
        <v>4112</v>
      </c>
      <c r="N41" s="217">
        <v>35</v>
      </c>
      <c r="O41" s="422">
        <f>N41/90</f>
        <v>0.3888888888888889</v>
      </c>
      <c r="P41" s="217">
        <v>0</v>
      </c>
      <c r="Q41" s="217">
        <v>0</v>
      </c>
      <c r="R41" s="217">
        <v>0</v>
      </c>
      <c r="S41" s="217">
        <v>1712</v>
      </c>
      <c r="U41" s="652" t="s">
        <v>1385</v>
      </c>
      <c r="V41" s="656">
        <v>66</v>
      </c>
    </row>
    <row r="42" spans="12:22" s="9" customFormat="1" ht="24.75" customHeight="1" hidden="1">
      <c r="L42" s="26" t="s">
        <v>942</v>
      </c>
      <c r="M42" s="217">
        <v>4182</v>
      </c>
      <c r="N42" s="217">
        <v>30</v>
      </c>
      <c r="O42" s="422">
        <f>N42/90</f>
        <v>0.3333333333333333</v>
      </c>
      <c r="P42" s="217">
        <v>4</v>
      </c>
      <c r="Q42" s="217">
        <v>2</v>
      </c>
      <c r="R42" s="217">
        <v>5</v>
      </c>
      <c r="S42" s="217">
        <v>2480</v>
      </c>
      <c r="U42" s="652"/>
      <c r="V42" s="656"/>
    </row>
    <row r="43" spans="12:22" s="9" customFormat="1" ht="24.75" customHeight="1" hidden="1">
      <c r="L43" s="26" t="s">
        <v>1327</v>
      </c>
      <c r="M43" s="217">
        <v>4473</v>
      </c>
      <c r="N43" s="217">
        <v>33</v>
      </c>
      <c r="O43" s="422">
        <f>N43/90</f>
        <v>0.36666666666666664</v>
      </c>
      <c r="P43" s="217">
        <v>0</v>
      </c>
      <c r="Q43" s="217">
        <v>0</v>
      </c>
      <c r="R43" s="217">
        <v>6</v>
      </c>
      <c r="S43" s="217">
        <v>7700</v>
      </c>
      <c r="U43" s="652"/>
      <c r="V43" s="656"/>
    </row>
    <row r="44" spans="12:22" s="9" customFormat="1" ht="30.75" customHeight="1" hidden="1">
      <c r="L44" s="26" t="s">
        <v>108</v>
      </c>
      <c r="M44" s="217">
        <v>4321</v>
      </c>
      <c r="N44" s="217">
        <v>38</v>
      </c>
      <c r="O44" s="422">
        <f>N44/90</f>
        <v>0.4222222222222222</v>
      </c>
      <c r="P44" s="217">
        <v>0</v>
      </c>
      <c r="Q44" s="217">
        <v>0</v>
      </c>
      <c r="R44" s="217">
        <v>5</v>
      </c>
      <c r="S44" s="217">
        <v>15968</v>
      </c>
      <c r="U44" s="652"/>
      <c r="V44" s="656"/>
    </row>
    <row r="45" spans="12:22" s="9" customFormat="1" ht="30.75" customHeight="1">
      <c r="L45" s="25" t="s">
        <v>940</v>
      </c>
      <c r="M45" s="217">
        <f>SUM(M46:M49)</f>
        <v>17553</v>
      </c>
      <c r="N45" s="217">
        <f>SUM(N46:N49)</f>
        <v>87</v>
      </c>
      <c r="O45" s="422">
        <f>N45/360</f>
        <v>0.24166666666666667</v>
      </c>
      <c r="P45" s="217">
        <f>SUM(P46:P49)</f>
        <v>7</v>
      </c>
      <c r="Q45" s="217">
        <f>SUM(Q46:Q49)</f>
        <v>4</v>
      </c>
      <c r="R45" s="217">
        <f>SUM(R46:R49)</f>
        <v>22</v>
      </c>
      <c r="S45" s="217">
        <f>SUM(S46:S49)</f>
        <v>11012</v>
      </c>
      <c r="U45" s="652"/>
      <c r="V45" s="656"/>
    </row>
    <row r="46" spans="12:22" s="9" customFormat="1" ht="30.75" customHeight="1" hidden="1">
      <c r="L46" s="26" t="s">
        <v>941</v>
      </c>
      <c r="M46" s="217">
        <v>4425</v>
      </c>
      <c r="N46" s="217">
        <v>32</v>
      </c>
      <c r="O46" s="422">
        <f>N46/90</f>
        <v>0.35555555555555557</v>
      </c>
      <c r="P46" s="217">
        <v>0</v>
      </c>
      <c r="Q46" s="217">
        <v>3</v>
      </c>
      <c r="R46" s="217">
        <v>6</v>
      </c>
      <c r="S46" s="217">
        <v>4094</v>
      </c>
      <c r="U46" s="652"/>
      <c r="V46" s="656"/>
    </row>
    <row r="47" spans="12:22" s="9" customFormat="1" ht="30.75" customHeight="1" hidden="1">
      <c r="L47" s="26" t="s">
        <v>942</v>
      </c>
      <c r="M47" s="217">
        <v>4183</v>
      </c>
      <c r="N47" s="217">
        <v>18</v>
      </c>
      <c r="O47" s="422">
        <v>0.2</v>
      </c>
      <c r="P47" s="217">
        <v>2</v>
      </c>
      <c r="Q47" s="217">
        <v>0</v>
      </c>
      <c r="R47" s="217">
        <v>4</v>
      </c>
      <c r="S47" s="217">
        <v>1550</v>
      </c>
      <c r="U47" s="652"/>
      <c r="V47" s="656"/>
    </row>
    <row r="48" spans="12:22" s="9" customFormat="1" ht="30.75" customHeight="1" hidden="1">
      <c r="L48" s="26" t="s">
        <v>1327</v>
      </c>
      <c r="M48" s="217">
        <f>SUM('[3]火災防護'!C90:C92)</f>
        <v>4602</v>
      </c>
      <c r="N48" s="217">
        <f>SUM('[3]火災防護'!D90:D92)</f>
        <v>22</v>
      </c>
      <c r="O48" s="422">
        <f>N48/90</f>
        <v>0.24444444444444444</v>
      </c>
      <c r="P48" s="217">
        <f>SUM('[3]火災防護'!F90:F92)</f>
        <v>5</v>
      </c>
      <c r="Q48" s="217">
        <f>SUM('[3]火災防護'!G90:G92)</f>
        <v>0</v>
      </c>
      <c r="R48" s="217">
        <f>SUM('[3]火災防護'!H90:H92)</f>
        <v>9</v>
      </c>
      <c r="S48" s="217">
        <f>SUM('[3]火災防護'!I90:I92)</f>
        <v>3308</v>
      </c>
      <c r="U48" s="652"/>
      <c r="V48" s="656"/>
    </row>
    <row r="49" spans="12:22" s="9" customFormat="1" ht="30.75" customHeight="1">
      <c r="L49" s="26" t="s">
        <v>109</v>
      </c>
      <c r="M49" s="217">
        <f>SUM('[12]火災防護'!C93:C95)</f>
        <v>4343</v>
      </c>
      <c r="N49" s="217">
        <f>SUM('[12]火災防護'!D93:D95)</f>
        <v>15</v>
      </c>
      <c r="O49" s="422">
        <f>N49/90</f>
        <v>0.16666666666666666</v>
      </c>
      <c r="P49" s="217">
        <f>SUM('[12]火災防護'!F93:F95)</f>
        <v>0</v>
      </c>
      <c r="Q49" s="217">
        <f>SUM('[12]火災防護'!G93:G95)</f>
        <v>1</v>
      </c>
      <c r="R49" s="217">
        <f>SUM('[12]火災防護'!H93:H95)</f>
        <v>3</v>
      </c>
      <c r="S49" s="217">
        <f>SUM('[12]火災防護'!I93:I95)</f>
        <v>2060</v>
      </c>
      <c r="U49" s="652"/>
      <c r="V49" s="656"/>
    </row>
    <row r="50" spans="12:22" s="9" customFormat="1" ht="30.75" customHeight="1">
      <c r="L50" s="25" t="s">
        <v>227</v>
      </c>
      <c r="M50" s="217">
        <f>SUM(M51:M54)</f>
        <v>18548</v>
      </c>
      <c r="N50" s="217">
        <f>SUM(N51:N54)</f>
        <v>56</v>
      </c>
      <c r="O50" s="422">
        <f>N50/360</f>
        <v>0.15555555555555556</v>
      </c>
      <c r="P50" s="217">
        <f>SUM(P51:P54)</f>
        <v>3</v>
      </c>
      <c r="Q50" s="217">
        <f>SUM(Q51:Q54)</f>
        <v>0</v>
      </c>
      <c r="R50" s="217">
        <f>SUM(R51:R54)</f>
        <v>9</v>
      </c>
      <c r="S50" s="217">
        <f>SUM(S51:S54)</f>
        <v>8913</v>
      </c>
      <c r="U50" s="652"/>
      <c r="V50" s="656"/>
    </row>
    <row r="51" spans="12:22" s="9" customFormat="1" ht="30.75" customHeight="1">
      <c r="L51" s="26" t="s">
        <v>941</v>
      </c>
      <c r="M51" s="217">
        <f>SUM('[15]火災防護'!C97:C99)</f>
        <v>4749</v>
      </c>
      <c r="N51" s="217">
        <f>SUM('[15]火災防護'!D97:D99)</f>
        <v>26</v>
      </c>
      <c r="O51" s="422">
        <f>N51/90</f>
        <v>0.28888888888888886</v>
      </c>
      <c r="P51" s="217">
        <f>SUM('[15]火災防護'!F97:F99)</f>
        <v>0</v>
      </c>
      <c r="Q51" s="217">
        <f>SUM('[15]火災防護'!G97:G99)</f>
        <v>0</v>
      </c>
      <c r="R51" s="217">
        <f>SUM('[15]火災防護'!H97:H99)</f>
        <v>0</v>
      </c>
      <c r="S51" s="217">
        <f>SUM('[15]火災防護'!I97:I99)</f>
        <v>1630</v>
      </c>
      <c r="U51" s="652"/>
      <c r="V51" s="656"/>
    </row>
    <row r="52" spans="12:22" s="9" customFormat="1" ht="30.75" customHeight="1">
      <c r="L52" s="26" t="s">
        <v>942</v>
      </c>
      <c r="M52" s="217">
        <f>SUM('[18]火災防護'!C100:C102)</f>
        <v>4654</v>
      </c>
      <c r="N52" s="217">
        <f>SUM('[18]火災防護'!D100:D102)</f>
        <v>9</v>
      </c>
      <c r="O52" s="422">
        <f>N52/90</f>
        <v>0.1</v>
      </c>
      <c r="P52" s="217">
        <f>SUM('[18]火災防護'!F100:F102)</f>
        <v>1</v>
      </c>
      <c r="Q52" s="217">
        <f>SUM('[18]火災防護'!G100:G102)</f>
        <v>0</v>
      </c>
      <c r="R52" s="217">
        <f>SUM('[18]火災防護'!H100:H102)</f>
        <v>0</v>
      </c>
      <c r="S52" s="217">
        <f>SUM('[18]火災防護'!I100:I102)</f>
        <v>2255</v>
      </c>
      <c r="U52" s="652"/>
      <c r="V52" s="656"/>
    </row>
    <row r="53" spans="12:22" s="9" customFormat="1" ht="30.75" customHeight="1">
      <c r="L53" s="26" t="s">
        <v>1327</v>
      </c>
      <c r="M53" s="217">
        <f>SUM('[20]火災防護'!C103:C105)</f>
        <v>4978</v>
      </c>
      <c r="N53" s="217">
        <f>SUM('[20]火災防護'!D103:D105)</f>
        <v>9</v>
      </c>
      <c r="O53" s="422">
        <f>N53/90</f>
        <v>0.1</v>
      </c>
      <c r="P53" s="217">
        <f>SUM('[20]火災防護'!F103:F105)</f>
        <v>0</v>
      </c>
      <c r="Q53" s="217">
        <f>SUM('[20]火災防護'!G103:G105)</f>
        <v>0</v>
      </c>
      <c r="R53" s="217">
        <f>SUM('[20]火災防護'!H103:H105)</f>
        <v>4</v>
      </c>
      <c r="S53" s="217">
        <f>SUM('[20]火災防護'!I103:I105)</f>
        <v>3515</v>
      </c>
      <c r="U53" s="679"/>
      <c r="V53" s="656"/>
    </row>
    <row r="54" spans="12:22" s="9" customFormat="1" ht="30.75" customHeight="1" thickBot="1">
      <c r="L54" s="26" t="s">
        <v>109</v>
      </c>
      <c r="M54" s="217">
        <f>SUM('[23]火災防護'!C106:C108)</f>
        <v>4167</v>
      </c>
      <c r="N54" s="217">
        <f>SUM('[23]火災防護'!D106:D108)</f>
        <v>12</v>
      </c>
      <c r="O54" s="422">
        <f>N54/90</f>
        <v>0.13333333333333333</v>
      </c>
      <c r="P54" s="217">
        <f>SUM('[23]火災防護'!F106:F108)</f>
        <v>2</v>
      </c>
      <c r="Q54" s="217">
        <f>SUM('[23]火災防護'!G106:G108)</f>
        <v>0</v>
      </c>
      <c r="R54" s="217">
        <f>SUM('[23]火災防護'!H106:H108)</f>
        <v>5</v>
      </c>
      <c r="S54" s="217">
        <f>SUM('[23]火災防護'!I106:I108)</f>
        <v>1513</v>
      </c>
      <c r="U54" s="652"/>
      <c r="V54" s="656"/>
    </row>
    <row r="55" spans="12:22" ht="30.75" customHeight="1" thickBot="1">
      <c r="L55" s="997" t="s">
        <v>945</v>
      </c>
      <c r="M55" s="1246">
        <f>(M54-M53)/M53*100</f>
        <v>-16.29168340699076</v>
      </c>
      <c r="N55" s="934">
        <f>(N54-N53)/N53*100</f>
        <v>33.33333333333333</v>
      </c>
      <c r="O55" s="934">
        <f>(O54-O53)/O53*100</f>
        <v>33.33333333333333</v>
      </c>
      <c r="P55" s="63" t="s">
        <v>1008</v>
      </c>
      <c r="Q55" s="63" t="s">
        <v>1002</v>
      </c>
      <c r="R55" s="63" t="s">
        <v>1002</v>
      </c>
      <c r="S55" s="1245">
        <f>(S54-S53)/S53*100</f>
        <v>-56.95590327169274</v>
      </c>
      <c r="U55" s="654"/>
      <c r="V55" s="62"/>
    </row>
    <row r="56" spans="12:22" ht="30.75" customHeight="1" thickBot="1">
      <c r="L56" s="1244"/>
      <c r="M56" s="1247"/>
      <c r="N56" s="935"/>
      <c r="O56" s="935"/>
      <c r="P56" s="677">
        <f>P54-P53</f>
        <v>2</v>
      </c>
      <c r="Q56" s="400">
        <f>Q54-Q53</f>
        <v>0</v>
      </c>
      <c r="R56" s="677">
        <f>R54-R53</f>
        <v>1</v>
      </c>
      <c r="S56" s="1245"/>
      <c r="T56" s="10"/>
      <c r="U56" s="654"/>
      <c r="V56" s="62"/>
    </row>
    <row r="57" spans="12:22" ht="30.75" customHeight="1" thickBot="1">
      <c r="L57" s="997" t="s">
        <v>1408</v>
      </c>
      <c r="M57" s="1245">
        <f>(M54-M49)/M49*100</f>
        <v>-4.052498273083122</v>
      </c>
      <c r="N57" s="1245">
        <f>(N54-N49)/N49*100</f>
        <v>-20</v>
      </c>
      <c r="O57" s="1245">
        <f>(O54-O49)/O49*100</f>
        <v>-19.999999999999996</v>
      </c>
      <c r="P57" s="63" t="s">
        <v>1008</v>
      </c>
      <c r="Q57" s="63" t="s">
        <v>1002</v>
      </c>
      <c r="R57" s="63" t="s">
        <v>1002</v>
      </c>
      <c r="S57" s="1245">
        <f>(S54-S49)/S49*100</f>
        <v>-26.553398058252426</v>
      </c>
      <c r="U57" s="654"/>
      <c r="V57" s="62"/>
    </row>
    <row r="58" spans="12:22" ht="30.75" customHeight="1" thickBot="1">
      <c r="L58" s="998"/>
      <c r="M58" s="1245"/>
      <c r="N58" s="1245"/>
      <c r="O58" s="1245"/>
      <c r="P58" s="425">
        <f>P54-P49</f>
        <v>2</v>
      </c>
      <c r="Q58" s="677">
        <f>Q54-Q49</f>
        <v>-1</v>
      </c>
      <c r="R58" s="425">
        <f>R54-R49</f>
        <v>2</v>
      </c>
      <c r="S58" s="1245"/>
      <c r="U58" s="654"/>
      <c r="V58" s="62"/>
    </row>
    <row r="59" spans="12:22" ht="24.75" customHeight="1">
      <c r="L59" s="2" t="s">
        <v>1009</v>
      </c>
      <c r="M59" s="426"/>
      <c r="N59" s="117"/>
      <c r="O59" s="117"/>
      <c r="P59" s="117"/>
      <c r="Q59" s="117"/>
      <c r="R59" s="117"/>
      <c r="S59" s="117"/>
      <c r="U59" s="654" t="s">
        <v>243</v>
      </c>
      <c r="V59" s="62">
        <v>15</v>
      </c>
    </row>
    <row r="60" spans="12:22" ht="24.75" customHeight="1">
      <c r="L60" s="3" t="s">
        <v>1010</v>
      </c>
      <c r="M60" s="427"/>
      <c r="U60" s="654" t="s">
        <v>226</v>
      </c>
      <c r="V60" s="62">
        <v>26</v>
      </c>
    </row>
    <row r="61" spans="2:22" ht="24.75" customHeight="1">
      <c r="B61" s="937" t="s">
        <v>1220</v>
      </c>
      <c r="C61" s="937"/>
      <c r="D61" s="937"/>
      <c r="E61" s="937"/>
      <c r="F61" s="937"/>
      <c r="G61" s="937"/>
      <c r="H61" s="937"/>
      <c r="I61" s="937"/>
      <c r="J61" s="937"/>
      <c r="K61" s="467"/>
      <c r="L61" s="899" t="s">
        <v>1284</v>
      </c>
      <c r="M61" s="899"/>
      <c r="N61" s="899"/>
      <c r="O61" s="899"/>
      <c r="P61" s="899"/>
      <c r="Q61" s="899"/>
      <c r="R61" s="899"/>
      <c r="S61" s="899"/>
      <c r="U61" s="652" t="s">
        <v>1384</v>
      </c>
      <c r="V61" s="62">
        <v>9</v>
      </c>
    </row>
    <row r="62" spans="13:22" ht="24.75" customHeight="1">
      <c r="M62" s="427"/>
      <c r="U62" s="678" t="s">
        <v>13</v>
      </c>
      <c r="V62" s="62">
        <v>9</v>
      </c>
    </row>
    <row r="63" spans="13:22" ht="24.75" customHeight="1">
      <c r="M63" s="427"/>
      <c r="U63" s="678" t="s">
        <v>244</v>
      </c>
      <c r="V63" s="62">
        <v>12</v>
      </c>
    </row>
    <row r="64" spans="13:22" ht="24.75" customHeight="1">
      <c r="M64" s="427"/>
      <c r="U64" s="678"/>
      <c r="V64" s="62"/>
    </row>
    <row r="65" ht="24.75" customHeight="1">
      <c r="M65" s="427"/>
    </row>
    <row r="66" ht="24.75" customHeight="1">
      <c r="M66" s="427"/>
    </row>
    <row r="67" ht="24.75" customHeight="1">
      <c r="M67" s="427"/>
    </row>
    <row r="68" ht="24.75" customHeight="1">
      <c r="M68" s="427"/>
    </row>
    <row r="69" ht="24.75" customHeight="1">
      <c r="M69" s="427"/>
    </row>
    <row r="70" ht="24.75" customHeight="1">
      <c r="M70" s="427"/>
    </row>
    <row r="71" ht="24.75" customHeight="1">
      <c r="M71" s="427"/>
    </row>
    <row r="72" ht="24.75" customHeight="1">
      <c r="M72" s="427"/>
    </row>
    <row r="73" ht="24.75" customHeight="1">
      <c r="M73" s="427"/>
    </row>
    <row r="74" ht="24.75" customHeight="1">
      <c r="M74" s="427"/>
    </row>
    <row r="75" ht="24.75" customHeight="1">
      <c r="M75" s="427"/>
    </row>
    <row r="76" ht="24.75" customHeight="1">
      <c r="M76" s="427"/>
    </row>
    <row r="77" ht="24.75" customHeight="1">
      <c r="M77" s="427"/>
    </row>
    <row r="78" ht="24.75" customHeight="1">
      <c r="M78" s="427"/>
    </row>
    <row r="79" ht="24.75" customHeight="1">
      <c r="M79" s="427"/>
    </row>
    <row r="80" ht="24.75" customHeight="1">
      <c r="M80" s="427"/>
    </row>
    <row r="81" ht="24.75" customHeight="1">
      <c r="M81" s="427"/>
    </row>
    <row r="82" ht="24.75" customHeight="1">
      <c r="M82" s="427"/>
    </row>
    <row r="83" ht="24.75" customHeight="1">
      <c r="M83" s="427"/>
    </row>
    <row r="84" ht="24.75" customHeight="1">
      <c r="M84" s="427"/>
    </row>
    <row r="85" ht="24.75" customHeight="1">
      <c r="M85" s="427"/>
    </row>
    <row r="86" ht="24.75" customHeight="1">
      <c r="M86" s="427"/>
    </row>
    <row r="87" ht="24.75" customHeight="1">
      <c r="M87" s="427"/>
    </row>
    <row r="88" ht="24.75" customHeight="1">
      <c r="M88" s="427"/>
    </row>
    <row r="89" ht="24.75" customHeight="1">
      <c r="M89" s="427"/>
    </row>
    <row r="90" ht="24.75" customHeight="1">
      <c r="M90" s="427"/>
    </row>
    <row r="91" ht="24.75" customHeight="1">
      <c r="M91" s="427"/>
    </row>
    <row r="92" ht="24.75" customHeight="1">
      <c r="M92" s="427"/>
    </row>
    <row r="93" ht="24.75" customHeight="1">
      <c r="M93" s="427"/>
    </row>
    <row r="94" ht="24.75" customHeight="1">
      <c r="M94" s="427"/>
    </row>
    <row r="237" ht="24.75" customHeight="1"/>
  </sheetData>
  <mergeCells count="23">
    <mergeCell ref="S55:S56"/>
    <mergeCell ref="O57:O58"/>
    <mergeCell ref="M2:M4"/>
    <mergeCell ref="N3:N4"/>
    <mergeCell ref="O3:O4"/>
    <mergeCell ref="B61:J61"/>
    <mergeCell ref="L61:S61"/>
    <mergeCell ref="L55:L56"/>
    <mergeCell ref="L57:L58"/>
    <mergeCell ref="M57:M58"/>
    <mergeCell ref="S57:S58"/>
    <mergeCell ref="M55:M56"/>
    <mergeCell ref="N55:N56"/>
    <mergeCell ref="O55:O56"/>
    <mergeCell ref="N57:N58"/>
    <mergeCell ref="B1:J1"/>
    <mergeCell ref="Q3:R3"/>
    <mergeCell ref="N2:S2"/>
    <mergeCell ref="S3:S4"/>
    <mergeCell ref="P3:P4"/>
    <mergeCell ref="L2:L4"/>
    <mergeCell ref="L1:S1"/>
    <mergeCell ref="B2:J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V50"/>
  <sheetViews>
    <sheetView workbookViewId="0" topLeftCell="A1">
      <selection activeCell="L4" sqref="L4:L6"/>
    </sheetView>
  </sheetViews>
  <sheetFormatPr defaultColWidth="9.00390625" defaultRowHeight="16.5" customHeight="1"/>
  <cols>
    <col min="1" max="1" width="2.625" style="3" customWidth="1"/>
    <col min="2" max="9" width="9.00390625" style="3" customWidth="1"/>
    <col min="10" max="10" width="16.25390625" style="3" customWidth="1"/>
    <col min="11" max="11" width="2.625" style="3" customWidth="1"/>
    <col min="12" max="12" width="38.625" style="443" customWidth="1"/>
    <col min="13" max="16" width="7.875" style="3" customWidth="1"/>
    <col min="17" max="17" width="7.875" style="444" customWidth="1"/>
    <col min="18" max="19" width="7.875" style="3" customWidth="1"/>
    <col min="20" max="20" width="9.00390625" style="3" customWidth="1"/>
    <col min="21" max="21" width="15.25390625" style="3" customWidth="1"/>
    <col min="22" max="22" width="9.00390625" style="440" customWidth="1"/>
    <col min="23" max="16384" width="9.00390625" style="3" customWidth="1"/>
  </cols>
  <sheetData>
    <row r="1" spans="2:19" ht="49.5" customHeight="1">
      <c r="B1" s="776" t="s">
        <v>1039</v>
      </c>
      <c r="C1" s="777"/>
      <c r="D1" s="777"/>
      <c r="E1" s="777"/>
      <c r="F1" s="777"/>
      <c r="G1" s="777"/>
      <c r="H1" s="777"/>
      <c r="I1" s="777"/>
      <c r="J1" s="777"/>
      <c r="K1" s="397"/>
      <c r="L1" s="1261" t="s">
        <v>1129</v>
      </c>
      <c r="M1" s="1262"/>
      <c r="N1" s="1262"/>
      <c r="O1" s="1262"/>
      <c r="P1" s="1262"/>
      <c r="Q1" s="1262"/>
      <c r="R1" s="1262"/>
      <c r="S1" s="1262"/>
    </row>
    <row r="2" spans="2:19" ht="15" customHeight="1">
      <c r="B2" s="1265" t="s">
        <v>880</v>
      </c>
      <c r="C2" s="1265"/>
      <c r="D2" s="1265"/>
      <c r="E2" s="1265"/>
      <c r="F2" s="1265"/>
      <c r="G2" s="1265"/>
      <c r="H2" s="1265"/>
      <c r="I2" s="1265"/>
      <c r="J2" s="1265"/>
      <c r="K2" s="397"/>
      <c r="L2" s="428"/>
      <c r="M2" s="428"/>
      <c r="N2" s="428"/>
      <c r="O2" s="428"/>
      <c r="P2" s="428"/>
      <c r="Q2" s="441"/>
      <c r="R2" s="1263" t="s">
        <v>1040</v>
      </c>
      <c r="S2" s="1263"/>
    </row>
    <row r="3" spans="2:19" ht="18.75" customHeight="1" thickBot="1">
      <c r="B3" s="1265"/>
      <c r="C3" s="1265"/>
      <c r="D3" s="1265"/>
      <c r="E3" s="1265"/>
      <c r="F3" s="1265"/>
      <c r="G3" s="1265"/>
      <c r="H3" s="1265"/>
      <c r="I3" s="1265"/>
      <c r="J3" s="1265"/>
      <c r="K3" s="442"/>
      <c r="R3" s="1264" t="s">
        <v>1041</v>
      </c>
      <c r="S3" s="1264"/>
    </row>
    <row r="4" spans="2:22" s="117" customFormat="1" ht="18" customHeight="1">
      <c r="B4" s="1265"/>
      <c r="C4" s="1265"/>
      <c r="D4" s="1265"/>
      <c r="E4" s="1265"/>
      <c r="F4" s="1265"/>
      <c r="G4" s="1265"/>
      <c r="H4" s="1265"/>
      <c r="I4" s="1265"/>
      <c r="J4" s="1265"/>
      <c r="K4" s="442"/>
      <c r="L4" s="1254" t="s">
        <v>1417</v>
      </c>
      <c r="M4" s="1257" t="s">
        <v>1418</v>
      </c>
      <c r="N4" s="1258"/>
      <c r="O4" s="1259" t="s">
        <v>1419</v>
      </c>
      <c r="P4" s="1260"/>
      <c r="Q4" s="1259" t="s">
        <v>1420</v>
      </c>
      <c r="R4" s="1258"/>
      <c r="S4" s="1258"/>
      <c r="V4" s="445"/>
    </row>
    <row r="5" spans="2:22" s="117" customFormat="1" ht="18.75" customHeight="1">
      <c r="B5" s="1265"/>
      <c r="C5" s="1265"/>
      <c r="D5" s="1265"/>
      <c r="E5" s="1265"/>
      <c r="F5" s="1265"/>
      <c r="G5" s="1265"/>
      <c r="H5" s="1265"/>
      <c r="I5" s="1265"/>
      <c r="J5" s="1265"/>
      <c r="K5" s="442"/>
      <c r="L5" s="1255"/>
      <c r="M5" s="1252" t="s">
        <v>1272</v>
      </c>
      <c r="N5" s="1252"/>
      <c r="O5" s="1253" t="s">
        <v>254</v>
      </c>
      <c r="P5" s="1062"/>
      <c r="Q5" s="1253" t="s">
        <v>1272</v>
      </c>
      <c r="R5" s="1252"/>
      <c r="S5" s="1252"/>
      <c r="V5" s="445"/>
    </row>
    <row r="6" spans="2:22" s="117" customFormat="1" ht="18.75" customHeight="1" thickBot="1">
      <c r="B6" s="1265"/>
      <c r="C6" s="1265"/>
      <c r="D6" s="1265"/>
      <c r="E6" s="1265"/>
      <c r="F6" s="1265"/>
      <c r="G6" s="1265"/>
      <c r="H6" s="1265"/>
      <c r="I6" s="1265"/>
      <c r="J6" s="1265"/>
      <c r="K6" s="442"/>
      <c r="L6" s="1256"/>
      <c r="M6" s="65" t="s">
        <v>1422</v>
      </c>
      <c r="N6" s="66" t="s">
        <v>1118</v>
      </c>
      <c r="O6" s="65" t="s">
        <v>1422</v>
      </c>
      <c r="P6" s="66" t="s">
        <v>1119</v>
      </c>
      <c r="Q6" s="66" t="s">
        <v>1422</v>
      </c>
      <c r="R6" s="66" t="s">
        <v>1119</v>
      </c>
      <c r="S6" s="569" t="s">
        <v>1120</v>
      </c>
      <c r="V6" s="445"/>
    </row>
    <row r="7" spans="2:19" ht="15.75" customHeight="1">
      <c r="B7" s="1265"/>
      <c r="C7" s="1265"/>
      <c r="D7" s="1265"/>
      <c r="E7" s="1265"/>
      <c r="F7" s="1265"/>
      <c r="G7" s="1265"/>
      <c r="H7" s="1265"/>
      <c r="I7" s="1265"/>
      <c r="J7" s="1265"/>
      <c r="K7" s="442"/>
      <c r="L7" s="458" t="s">
        <v>897</v>
      </c>
      <c r="M7" s="446">
        <f>M8+M32</f>
        <v>33489085</v>
      </c>
      <c r="N7" s="447">
        <f>N8+N32</f>
        <v>100</v>
      </c>
      <c r="O7" s="446">
        <f>O8+O32</f>
        <v>20734957.216</v>
      </c>
      <c r="P7" s="447">
        <f aca="true" t="shared" si="0" ref="P7:P29">O7/M7*100</f>
        <v>61.915568060459094</v>
      </c>
      <c r="Q7" s="446">
        <f>Q8+Q32</f>
        <v>18329596.137999997</v>
      </c>
      <c r="R7" s="447">
        <f aca="true" t="shared" si="1" ref="R7:R48">Q7/M7*100</f>
        <v>54.73304552214549</v>
      </c>
      <c r="S7" s="447">
        <f aca="true" t="shared" si="2" ref="S7:S29">Q7/O7*100</f>
        <v>88.39948858855652</v>
      </c>
    </row>
    <row r="8" spans="2:19" ht="15.75" customHeight="1">
      <c r="B8" s="1265"/>
      <c r="C8" s="1265"/>
      <c r="D8" s="1265"/>
      <c r="E8" s="1265"/>
      <c r="F8" s="1265"/>
      <c r="G8" s="1265"/>
      <c r="H8" s="1265"/>
      <c r="I8" s="1265"/>
      <c r="J8" s="1265"/>
      <c r="K8" s="442"/>
      <c r="L8" s="25" t="s">
        <v>410</v>
      </c>
      <c r="M8" s="448">
        <f>SUM(M9:M31)</f>
        <v>27300695</v>
      </c>
      <c r="N8" s="447">
        <f aca="true" t="shared" si="3" ref="N8:N32">M8/$M$7*100</f>
        <v>81.52117324196824</v>
      </c>
      <c r="O8" s="448">
        <f>SUM(O9:O31)</f>
        <v>14667312.980999999</v>
      </c>
      <c r="P8" s="447">
        <f t="shared" si="0"/>
        <v>53.725053450104475</v>
      </c>
      <c r="Q8" s="448">
        <f>SUM(Q9:Q31)</f>
        <v>13960670.838999998</v>
      </c>
      <c r="R8" s="447">
        <f t="shared" si="1"/>
        <v>51.13668658984688</v>
      </c>
      <c r="S8" s="447">
        <f t="shared" si="2"/>
        <v>95.18219770100097</v>
      </c>
    </row>
    <row r="9" spans="2:22" ht="15.75" customHeight="1">
      <c r="B9" s="1265"/>
      <c r="C9" s="1265"/>
      <c r="D9" s="1265"/>
      <c r="E9" s="1265"/>
      <c r="F9" s="1265"/>
      <c r="G9" s="1265"/>
      <c r="H9" s="1265"/>
      <c r="I9" s="1265"/>
      <c r="J9" s="1265"/>
      <c r="K9" s="442"/>
      <c r="L9" s="43" t="s">
        <v>412</v>
      </c>
      <c r="M9" s="446">
        <v>279919</v>
      </c>
      <c r="N9" s="447">
        <f t="shared" si="3"/>
        <v>0.8358514423430798</v>
      </c>
      <c r="O9" s="446">
        <v>175225</v>
      </c>
      <c r="P9" s="447">
        <f t="shared" si="0"/>
        <v>62.59846598480274</v>
      </c>
      <c r="Q9" s="446">
        <v>162630.149</v>
      </c>
      <c r="R9" s="447">
        <f t="shared" si="1"/>
        <v>58.09900328309261</v>
      </c>
      <c r="S9" s="447">
        <f t="shared" si="2"/>
        <v>92.81218376373235</v>
      </c>
      <c r="U9" s="25" t="s">
        <v>1043</v>
      </c>
      <c r="V9" s="440">
        <f aca="true" t="shared" si="4" ref="V9:V31">S9</f>
        <v>92.81218376373235</v>
      </c>
    </row>
    <row r="10" spans="2:22" ht="15.75" customHeight="1"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3" t="s">
        <v>413</v>
      </c>
      <c r="M10" s="446">
        <v>469040</v>
      </c>
      <c r="N10" s="447">
        <f t="shared" si="3"/>
        <v>1.400575739826872</v>
      </c>
      <c r="O10" s="449">
        <v>280905</v>
      </c>
      <c r="P10" s="447">
        <f t="shared" si="0"/>
        <v>59.88934845642163</v>
      </c>
      <c r="Q10" s="446">
        <v>240833.183</v>
      </c>
      <c r="R10" s="447">
        <f t="shared" si="1"/>
        <v>51.34597966058332</v>
      </c>
      <c r="S10" s="447">
        <f t="shared" si="2"/>
        <v>85.73474413057795</v>
      </c>
      <c r="U10" s="25" t="s">
        <v>1045</v>
      </c>
      <c r="V10" s="440">
        <f t="shared" si="4"/>
        <v>85.73474413057795</v>
      </c>
    </row>
    <row r="11" spans="2:22" ht="15.75" customHeight="1"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3" t="s">
        <v>414</v>
      </c>
      <c r="M11" s="446">
        <v>1583682</v>
      </c>
      <c r="N11" s="447">
        <f t="shared" si="3"/>
        <v>4.728949745864959</v>
      </c>
      <c r="O11" s="446">
        <v>833919</v>
      </c>
      <c r="P11" s="447">
        <f t="shared" si="0"/>
        <v>52.656972801357846</v>
      </c>
      <c r="Q11" s="446">
        <v>750625.866</v>
      </c>
      <c r="R11" s="447">
        <f t="shared" si="1"/>
        <v>47.397512000515256</v>
      </c>
      <c r="S11" s="447">
        <f t="shared" si="2"/>
        <v>90.0118435963205</v>
      </c>
      <c r="U11" s="25" t="s">
        <v>1047</v>
      </c>
      <c r="V11" s="440">
        <f t="shared" si="4"/>
        <v>90.0118435963205</v>
      </c>
    </row>
    <row r="12" spans="2:22" ht="15.75" customHeight="1"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3" t="s">
        <v>415</v>
      </c>
      <c r="M12" s="446">
        <v>371086</v>
      </c>
      <c r="N12" s="447">
        <f t="shared" si="3"/>
        <v>1.1080804387459378</v>
      </c>
      <c r="O12" s="446">
        <v>234281</v>
      </c>
      <c r="P12" s="447">
        <f t="shared" si="0"/>
        <v>63.13388271182422</v>
      </c>
      <c r="Q12" s="446">
        <v>210132.73</v>
      </c>
      <c r="R12" s="447">
        <f t="shared" si="1"/>
        <v>56.62642352446603</v>
      </c>
      <c r="S12" s="447">
        <f t="shared" si="2"/>
        <v>89.69260418044998</v>
      </c>
      <c r="U12" s="25" t="s">
        <v>1049</v>
      </c>
      <c r="V12" s="440">
        <f t="shared" si="4"/>
        <v>89.69260418044998</v>
      </c>
    </row>
    <row r="13" spans="2:22" ht="15.75" customHeight="1"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3" t="s">
        <v>416</v>
      </c>
      <c r="M13" s="446">
        <v>7179099</v>
      </c>
      <c r="N13" s="447">
        <f t="shared" si="3"/>
        <v>21.437130933855016</v>
      </c>
      <c r="O13" s="446">
        <v>7173817</v>
      </c>
      <c r="P13" s="447">
        <f t="shared" si="0"/>
        <v>99.92642530768833</v>
      </c>
      <c r="Q13" s="446">
        <v>7126725.487</v>
      </c>
      <c r="R13" s="447">
        <f t="shared" si="1"/>
        <v>99.27047233921694</v>
      </c>
      <c r="S13" s="447">
        <f t="shared" si="2"/>
        <v>99.34356406080612</v>
      </c>
      <c r="U13" s="25" t="s">
        <v>1051</v>
      </c>
      <c r="V13" s="440">
        <f t="shared" si="4"/>
        <v>99.34356406080612</v>
      </c>
    </row>
    <row r="14" spans="12:22" ht="15.75" customHeight="1">
      <c r="L14" s="43" t="s">
        <v>417</v>
      </c>
      <c r="M14" s="446">
        <v>598661</v>
      </c>
      <c r="N14" s="447">
        <f t="shared" si="3"/>
        <v>1.7876302084694162</v>
      </c>
      <c r="O14" s="446">
        <v>319604</v>
      </c>
      <c r="P14" s="447">
        <f t="shared" si="0"/>
        <v>53.38647414814061</v>
      </c>
      <c r="Q14" s="446">
        <v>288487.875</v>
      </c>
      <c r="R14" s="447">
        <f t="shared" si="1"/>
        <v>48.18885395908536</v>
      </c>
      <c r="S14" s="447">
        <f t="shared" si="2"/>
        <v>90.26416283901328</v>
      </c>
      <c r="U14" s="25" t="s">
        <v>1053</v>
      </c>
      <c r="V14" s="440">
        <f t="shared" si="4"/>
        <v>90.26416283901328</v>
      </c>
    </row>
    <row r="15" spans="12:22" ht="15.75" customHeight="1">
      <c r="L15" s="43" t="s">
        <v>418</v>
      </c>
      <c r="M15" s="446">
        <v>917707</v>
      </c>
      <c r="N15" s="447">
        <f t="shared" si="3"/>
        <v>2.740316733048992</v>
      </c>
      <c r="O15" s="446">
        <v>360537</v>
      </c>
      <c r="P15" s="447">
        <f t="shared" si="0"/>
        <v>39.28672223269519</v>
      </c>
      <c r="Q15" s="446">
        <v>274200.445</v>
      </c>
      <c r="R15" s="447">
        <f t="shared" si="1"/>
        <v>29.878866021507953</v>
      </c>
      <c r="S15" s="447">
        <f t="shared" si="2"/>
        <v>76.0533440395854</v>
      </c>
      <c r="U15" s="25" t="s">
        <v>1055</v>
      </c>
      <c r="V15" s="440">
        <f t="shared" si="4"/>
        <v>76.0533440395854</v>
      </c>
    </row>
    <row r="16" spans="12:22" ht="15.75" customHeight="1">
      <c r="L16" s="43" t="s">
        <v>419</v>
      </c>
      <c r="M16" s="446">
        <v>361479</v>
      </c>
      <c r="N16" s="447">
        <f t="shared" si="3"/>
        <v>1.079393479995049</v>
      </c>
      <c r="O16" s="446">
        <v>184882</v>
      </c>
      <c r="P16" s="447">
        <f t="shared" si="0"/>
        <v>51.145986350521056</v>
      </c>
      <c r="Q16" s="446">
        <v>162421.406</v>
      </c>
      <c r="R16" s="447">
        <f t="shared" si="1"/>
        <v>44.93245970028688</v>
      </c>
      <c r="S16" s="447">
        <f t="shared" si="2"/>
        <v>87.8513895349466</v>
      </c>
      <c r="U16" s="25" t="s">
        <v>1057</v>
      </c>
      <c r="V16" s="440">
        <f t="shared" si="4"/>
        <v>87.8513895349466</v>
      </c>
    </row>
    <row r="17" spans="12:22" ht="15.75" customHeight="1">
      <c r="L17" s="43" t="s">
        <v>420</v>
      </c>
      <c r="M17" s="446">
        <v>845015</v>
      </c>
      <c r="N17" s="447">
        <f t="shared" si="3"/>
        <v>2.523254965013227</v>
      </c>
      <c r="O17" s="446">
        <v>55196</v>
      </c>
      <c r="P17" s="447">
        <f t="shared" si="0"/>
        <v>6.531955054052295</v>
      </c>
      <c r="Q17" s="446">
        <v>45318.213</v>
      </c>
      <c r="R17" s="447">
        <f t="shared" si="1"/>
        <v>5.363006928871085</v>
      </c>
      <c r="S17" s="447">
        <f t="shared" si="2"/>
        <v>82.10416153344447</v>
      </c>
      <c r="U17" s="25" t="s">
        <v>1059</v>
      </c>
      <c r="V17" s="440">
        <f t="shared" si="4"/>
        <v>82.10416153344447</v>
      </c>
    </row>
    <row r="18" spans="12:22" ht="15.75" customHeight="1">
      <c r="L18" s="43" t="s">
        <v>1273</v>
      </c>
      <c r="M18" s="446">
        <v>757139</v>
      </c>
      <c r="N18" s="447">
        <f t="shared" si="3"/>
        <v>2.260853051076194</v>
      </c>
      <c r="O18" s="446">
        <v>236395</v>
      </c>
      <c r="P18" s="447">
        <f t="shared" si="0"/>
        <v>31.22214018826134</v>
      </c>
      <c r="Q18" s="446">
        <v>187495.326</v>
      </c>
      <c r="R18" s="447">
        <f t="shared" si="1"/>
        <v>24.763659777134713</v>
      </c>
      <c r="S18" s="447">
        <f t="shared" si="2"/>
        <v>79.31442120180206</v>
      </c>
      <c r="U18" s="25" t="s">
        <v>1061</v>
      </c>
      <c r="V18" s="440">
        <f t="shared" si="4"/>
        <v>79.31442120180206</v>
      </c>
    </row>
    <row r="19" spans="12:22" ht="15.75" customHeight="1">
      <c r="L19" s="43" t="s">
        <v>421</v>
      </c>
      <c r="M19" s="449">
        <v>294680</v>
      </c>
      <c r="N19" s="447">
        <f t="shared" si="3"/>
        <v>0.879928490133427</v>
      </c>
      <c r="O19" s="449">
        <v>294680</v>
      </c>
      <c r="P19" s="447">
        <f t="shared" si="0"/>
        <v>100</v>
      </c>
      <c r="Q19" s="446">
        <v>293170.658</v>
      </c>
      <c r="R19" s="447">
        <f t="shared" si="1"/>
        <v>99.4878030405864</v>
      </c>
      <c r="S19" s="447">
        <f t="shared" si="2"/>
        <v>99.4878030405864</v>
      </c>
      <c r="U19" s="25" t="s">
        <v>1062</v>
      </c>
      <c r="V19" s="440">
        <f t="shared" si="4"/>
        <v>99.4878030405864</v>
      </c>
    </row>
    <row r="20" spans="12:22" ht="15.75" customHeight="1">
      <c r="L20" s="69" t="s">
        <v>422</v>
      </c>
      <c r="M20" s="449">
        <v>787946</v>
      </c>
      <c r="N20" s="447">
        <f t="shared" si="3"/>
        <v>2.3528442177503504</v>
      </c>
      <c r="O20" s="449">
        <v>787946</v>
      </c>
      <c r="P20" s="447">
        <f t="shared" si="0"/>
        <v>100</v>
      </c>
      <c r="Q20" s="446">
        <v>774906.128</v>
      </c>
      <c r="R20" s="447">
        <f t="shared" si="1"/>
        <v>98.34508050044039</v>
      </c>
      <c r="S20" s="447">
        <f t="shared" si="2"/>
        <v>98.34508050044039</v>
      </c>
      <c r="U20" s="68" t="s">
        <v>1063</v>
      </c>
      <c r="V20" s="440">
        <f t="shared" si="4"/>
        <v>98.34508050044039</v>
      </c>
    </row>
    <row r="21" spans="12:22" ht="15.75" customHeight="1">
      <c r="L21" s="43" t="s">
        <v>1064</v>
      </c>
      <c r="M21" s="446">
        <v>2138035</v>
      </c>
      <c r="N21" s="447">
        <f t="shared" si="3"/>
        <v>6.384274159774744</v>
      </c>
      <c r="O21" s="446">
        <v>600077</v>
      </c>
      <c r="P21" s="447">
        <f t="shared" si="0"/>
        <v>28.06675288290416</v>
      </c>
      <c r="Q21" s="446">
        <v>567314.301</v>
      </c>
      <c r="R21" s="447">
        <f t="shared" si="1"/>
        <v>26.534378576590186</v>
      </c>
      <c r="S21" s="447">
        <f t="shared" si="2"/>
        <v>94.54025083447624</v>
      </c>
      <c r="U21" s="25" t="s">
        <v>1065</v>
      </c>
      <c r="V21" s="440">
        <f t="shared" si="4"/>
        <v>94.54025083447624</v>
      </c>
    </row>
    <row r="22" spans="12:22" ht="15.75" customHeight="1">
      <c r="L22" s="43" t="s">
        <v>1274</v>
      </c>
      <c r="M22" s="446">
        <v>116839</v>
      </c>
      <c r="N22" s="447">
        <f t="shared" si="3"/>
        <v>0.34888680894088325</v>
      </c>
      <c r="O22" s="446">
        <v>87719</v>
      </c>
      <c r="P22" s="447">
        <f t="shared" si="0"/>
        <v>75.07681510454557</v>
      </c>
      <c r="Q22" s="660">
        <v>77718.115</v>
      </c>
      <c r="R22" s="447">
        <f>Q22/M22*100</f>
        <v>66.51727163019197</v>
      </c>
      <c r="S22" s="447">
        <f>Q22/O22*100</f>
        <v>88.59895233643795</v>
      </c>
      <c r="U22" s="25" t="s">
        <v>1276</v>
      </c>
      <c r="V22" s="440">
        <f t="shared" si="4"/>
        <v>88.59895233643795</v>
      </c>
    </row>
    <row r="23" spans="12:22" ht="15.75" customHeight="1">
      <c r="L23" s="43" t="s">
        <v>1066</v>
      </c>
      <c r="M23" s="446">
        <v>480849</v>
      </c>
      <c r="N23" s="447">
        <f t="shared" si="3"/>
        <v>1.4358379752686585</v>
      </c>
      <c r="O23" s="446">
        <v>298596</v>
      </c>
      <c r="P23" s="447">
        <f t="shared" si="0"/>
        <v>62.097664755463775</v>
      </c>
      <c r="Q23" s="446">
        <v>280907.822</v>
      </c>
      <c r="R23" s="447">
        <f t="shared" si="1"/>
        <v>58.419134073274556</v>
      </c>
      <c r="S23" s="447">
        <f t="shared" si="2"/>
        <v>94.07621736392984</v>
      </c>
      <c r="U23" s="25" t="s">
        <v>1067</v>
      </c>
      <c r="V23" s="440">
        <f t="shared" si="4"/>
        <v>94.07621736392984</v>
      </c>
    </row>
    <row r="24" spans="12:22" ht="15.75" customHeight="1">
      <c r="L24" s="43" t="s">
        <v>1068</v>
      </c>
      <c r="M24" s="446">
        <v>58774</v>
      </c>
      <c r="N24" s="447">
        <f t="shared" si="3"/>
        <v>0.17550195832463025</v>
      </c>
      <c r="O24" s="446">
        <v>58774</v>
      </c>
      <c r="P24" s="447">
        <f t="shared" si="0"/>
        <v>100</v>
      </c>
      <c r="Q24" s="446">
        <v>50701.468</v>
      </c>
      <c r="R24" s="447">
        <f t="shared" si="1"/>
        <v>86.26513084016743</v>
      </c>
      <c r="S24" s="447">
        <f t="shared" si="2"/>
        <v>86.26513084016743</v>
      </c>
      <c r="U24" s="25" t="s">
        <v>1069</v>
      </c>
      <c r="V24" s="440">
        <f t="shared" si="4"/>
        <v>86.26513084016743</v>
      </c>
    </row>
    <row r="25" spans="12:22" ht="15.75" customHeight="1">
      <c r="L25" s="69" t="s">
        <v>1275</v>
      </c>
      <c r="M25" s="446">
        <v>312939</v>
      </c>
      <c r="N25" s="447">
        <f t="shared" si="3"/>
        <v>0.9344507322311134</v>
      </c>
      <c r="O25" s="446">
        <v>103382</v>
      </c>
      <c r="P25" s="447">
        <f t="shared" si="0"/>
        <v>33.035831264239995</v>
      </c>
      <c r="Q25" s="446">
        <v>98619.892</v>
      </c>
      <c r="R25" s="447">
        <f t="shared" si="1"/>
        <v>31.514094440130506</v>
      </c>
      <c r="S25" s="447">
        <f t="shared" si="2"/>
        <v>95.39367781625428</v>
      </c>
      <c r="U25" s="25" t="s">
        <v>1070</v>
      </c>
      <c r="V25" s="440">
        <f t="shared" si="4"/>
        <v>95.39367781625428</v>
      </c>
    </row>
    <row r="26" spans="12:22" ht="15.75" customHeight="1">
      <c r="L26" s="69" t="s">
        <v>879</v>
      </c>
      <c r="M26" s="449">
        <v>5498107</v>
      </c>
      <c r="N26" s="447">
        <f t="shared" si="3"/>
        <v>16.41760890152717</v>
      </c>
      <c r="O26" s="449">
        <v>451205.871</v>
      </c>
      <c r="P26" s="447">
        <f t="shared" si="0"/>
        <v>8.206567660469322</v>
      </c>
      <c r="Q26" s="446">
        <v>451205.871</v>
      </c>
      <c r="R26" s="447">
        <f t="shared" si="1"/>
        <v>8.206567660469322</v>
      </c>
      <c r="S26" s="447">
        <f t="shared" si="2"/>
        <v>100</v>
      </c>
      <c r="U26" s="25" t="s">
        <v>1071</v>
      </c>
      <c r="V26" s="440">
        <f t="shared" si="4"/>
        <v>100</v>
      </c>
    </row>
    <row r="27" spans="12:22" ht="15.75" customHeight="1">
      <c r="L27" s="43" t="s">
        <v>1072</v>
      </c>
      <c r="M27" s="446">
        <v>2887611</v>
      </c>
      <c r="N27" s="447">
        <f t="shared" si="3"/>
        <v>8.622543733279068</v>
      </c>
      <c r="O27" s="446">
        <v>1771346</v>
      </c>
      <c r="P27" s="447">
        <f t="shared" si="0"/>
        <v>61.34295789841499</v>
      </c>
      <c r="Q27" s="446">
        <v>1701273.64</v>
      </c>
      <c r="R27" s="447">
        <f t="shared" si="1"/>
        <v>58.916302784550965</v>
      </c>
      <c r="S27" s="447">
        <f t="shared" si="2"/>
        <v>96.04411786291328</v>
      </c>
      <c r="U27" s="25" t="s">
        <v>1073</v>
      </c>
      <c r="V27" s="440">
        <f t="shared" si="4"/>
        <v>96.04411786291328</v>
      </c>
    </row>
    <row r="28" spans="12:22" ht="15.75" customHeight="1">
      <c r="L28" s="43" t="s">
        <v>1074</v>
      </c>
      <c r="M28" s="449">
        <v>287999</v>
      </c>
      <c r="N28" s="447">
        <f t="shared" si="3"/>
        <v>0.859978706494967</v>
      </c>
      <c r="O28" s="449">
        <v>287999</v>
      </c>
      <c r="P28" s="447">
        <f t="shared" si="0"/>
        <v>100</v>
      </c>
      <c r="Q28" s="446">
        <v>145155.154</v>
      </c>
      <c r="R28" s="447">
        <f t="shared" si="1"/>
        <v>50.401270143299115</v>
      </c>
      <c r="S28" s="447">
        <f t="shared" si="2"/>
        <v>50.401270143299115</v>
      </c>
      <c r="U28" s="25" t="s">
        <v>1075</v>
      </c>
      <c r="V28" s="440">
        <f t="shared" si="4"/>
        <v>50.401270143299115</v>
      </c>
    </row>
    <row r="29" spans="12:22" ht="15.75" customHeight="1">
      <c r="L29" s="69" t="s">
        <v>895</v>
      </c>
      <c r="M29" s="449">
        <v>23000</v>
      </c>
      <c r="N29" s="447">
        <f t="shared" si="3"/>
        <v>0.06867909350165882</v>
      </c>
      <c r="O29" s="449">
        <v>23000</v>
      </c>
      <c r="P29" s="447">
        <f t="shared" si="0"/>
        <v>100</v>
      </c>
      <c r="Q29" s="450">
        <v>23000</v>
      </c>
      <c r="R29" s="746">
        <f>Q29/M29*100</f>
        <v>100</v>
      </c>
      <c r="S29" s="447">
        <f t="shared" si="2"/>
        <v>100</v>
      </c>
      <c r="U29" s="25" t="s">
        <v>1076</v>
      </c>
      <c r="V29" s="440">
        <f t="shared" si="4"/>
        <v>100</v>
      </c>
    </row>
    <row r="30" spans="12:22" ht="15.75" customHeight="1">
      <c r="L30" s="69" t="s">
        <v>896</v>
      </c>
      <c r="M30" s="449">
        <v>89</v>
      </c>
      <c r="N30" s="447">
        <f t="shared" si="3"/>
        <v>0.0002657582313759841</v>
      </c>
      <c r="O30" s="450">
        <v>0</v>
      </c>
      <c r="P30" s="451">
        <v>0</v>
      </c>
      <c r="Q30" s="452">
        <v>0</v>
      </c>
      <c r="R30" s="451">
        <f>Q30/M30*100</f>
        <v>0</v>
      </c>
      <c r="S30" s="452">
        <v>0</v>
      </c>
      <c r="U30" s="25" t="s">
        <v>1077</v>
      </c>
      <c r="V30" s="440">
        <f t="shared" si="4"/>
        <v>0</v>
      </c>
    </row>
    <row r="31" spans="12:22" ht="15.75" customHeight="1">
      <c r="L31" s="43" t="s">
        <v>1078</v>
      </c>
      <c r="M31" s="446">
        <v>1051000</v>
      </c>
      <c r="N31" s="447">
        <f t="shared" si="3"/>
        <v>3.138335968271453</v>
      </c>
      <c r="O31" s="449">
        <v>47827.11</v>
      </c>
      <c r="P31" s="447">
        <f aca="true" t="shared" si="5" ref="P31:P48">O31/M31*100</f>
        <v>4.550628924833492</v>
      </c>
      <c r="Q31" s="446">
        <v>47827.11</v>
      </c>
      <c r="R31" s="447">
        <f t="shared" si="1"/>
        <v>4.550628924833492</v>
      </c>
      <c r="S31" s="447">
        <f aca="true" t="shared" si="6" ref="S31:S48">Q31/O31*100</f>
        <v>100</v>
      </c>
      <c r="U31" s="25" t="s">
        <v>1079</v>
      </c>
      <c r="V31" s="440">
        <f t="shared" si="4"/>
        <v>100</v>
      </c>
    </row>
    <row r="32" spans="12:19" ht="15.75" customHeight="1">
      <c r="L32" s="25" t="s">
        <v>898</v>
      </c>
      <c r="M32" s="446">
        <f>SUM(M33:M48)</f>
        <v>6188390</v>
      </c>
      <c r="N32" s="447">
        <f t="shared" si="3"/>
        <v>18.478826758031758</v>
      </c>
      <c r="O32" s="446">
        <f>SUM(O33:O48)</f>
        <v>6067644.235</v>
      </c>
      <c r="P32" s="447">
        <f t="shared" si="5"/>
        <v>98.04883394550117</v>
      </c>
      <c r="Q32" s="446">
        <f>SUM(Q33:Q48)</f>
        <v>4368925.299000001</v>
      </c>
      <c r="R32" s="447">
        <f t="shared" si="1"/>
        <v>70.5987389127059</v>
      </c>
      <c r="S32" s="447">
        <f t="shared" si="6"/>
        <v>72.00364968332723</v>
      </c>
    </row>
    <row r="33" spans="12:22" ht="15.75" customHeight="1">
      <c r="L33" s="43" t="s">
        <v>1042</v>
      </c>
      <c r="M33" s="446">
        <v>2432</v>
      </c>
      <c r="N33" s="447">
        <f aca="true" t="shared" si="7" ref="N33:N48">M33/$M$7*100</f>
        <v>0.0072620676259145325</v>
      </c>
      <c r="O33" s="446">
        <v>2432</v>
      </c>
      <c r="P33" s="447">
        <f t="shared" si="5"/>
        <v>100</v>
      </c>
      <c r="Q33" s="660">
        <v>2373.963</v>
      </c>
      <c r="R33" s="447">
        <f>Q33/M33*100</f>
        <v>97.61361019736843</v>
      </c>
      <c r="S33" s="447">
        <f>Q33/O33*100</f>
        <v>97.61361019736843</v>
      </c>
      <c r="U33" s="25" t="s">
        <v>1043</v>
      </c>
      <c r="V33" s="440">
        <f aca="true" t="shared" si="8" ref="V33:V48">S33</f>
        <v>97.61361019736843</v>
      </c>
    </row>
    <row r="34" spans="12:22" ht="15.75" customHeight="1">
      <c r="L34" s="43" t="s">
        <v>1044</v>
      </c>
      <c r="M34" s="446">
        <v>19500</v>
      </c>
      <c r="N34" s="447">
        <f t="shared" si="7"/>
        <v>0.05822792709923248</v>
      </c>
      <c r="O34" s="446">
        <v>19500</v>
      </c>
      <c r="P34" s="447">
        <f t="shared" si="5"/>
        <v>100</v>
      </c>
      <c r="Q34" s="446">
        <v>19078.719</v>
      </c>
      <c r="R34" s="447">
        <f t="shared" si="1"/>
        <v>97.83958461538462</v>
      </c>
      <c r="S34" s="447">
        <f t="shared" si="6"/>
        <v>97.83958461538462</v>
      </c>
      <c r="U34" s="25" t="s">
        <v>1045</v>
      </c>
      <c r="V34" s="440">
        <f t="shared" si="8"/>
        <v>97.83958461538462</v>
      </c>
    </row>
    <row r="35" spans="12:22" ht="15.75" customHeight="1">
      <c r="L35" s="43" t="s">
        <v>1046</v>
      </c>
      <c r="M35" s="446">
        <v>339157</v>
      </c>
      <c r="N35" s="447">
        <f t="shared" si="7"/>
        <v>1.0127389267279174</v>
      </c>
      <c r="O35" s="446">
        <v>339157</v>
      </c>
      <c r="P35" s="447">
        <f t="shared" si="5"/>
        <v>100</v>
      </c>
      <c r="Q35" s="446">
        <v>158615.621</v>
      </c>
      <c r="R35" s="447">
        <f t="shared" si="1"/>
        <v>46.76760939623833</v>
      </c>
      <c r="S35" s="447">
        <f t="shared" si="6"/>
        <v>46.76760939623833</v>
      </c>
      <c r="U35" s="25" t="s">
        <v>1047</v>
      </c>
      <c r="V35" s="440">
        <f t="shared" si="8"/>
        <v>46.76760939623833</v>
      </c>
    </row>
    <row r="36" spans="12:22" ht="15.75" customHeight="1">
      <c r="L36" s="43" t="s">
        <v>1048</v>
      </c>
      <c r="M36" s="446">
        <v>3265</v>
      </c>
      <c r="N36" s="447">
        <f t="shared" si="7"/>
        <v>0.009749445229692002</v>
      </c>
      <c r="O36" s="449">
        <v>3265</v>
      </c>
      <c r="P36" s="447">
        <f t="shared" si="5"/>
        <v>100</v>
      </c>
      <c r="Q36" s="449">
        <v>3260.769</v>
      </c>
      <c r="R36" s="447">
        <f t="shared" si="1"/>
        <v>99.8704134762634</v>
      </c>
      <c r="S36" s="447">
        <f t="shared" si="6"/>
        <v>99.8704134762634</v>
      </c>
      <c r="U36" s="25" t="s">
        <v>1049</v>
      </c>
      <c r="V36" s="440">
        <f t="shared" si="8"/>
        <v>99.8704134762634</v>
      </c>
    </row>
    <row r="37" spans="12:22" ht="15.75" customHeight="1">
      <c r="L37" s="43" t="s">
        <v>1050</v>
      </c>
      <c r="M37" s="446">
        <v>836186</v>
      </c>
      <c r="N37" s="447">
        <f t="shared" si="7"/>
        <v>2.496891151251221</v>
      </c>
      <c r="O37" s="446">
        <v>836186</v>
      </c>
      <c r="P37" s="447">
        <f t="shared" si="5"/>
        <v>100</v>
      </c>
      <c r="Q37" s="446">
        <v>826084.348</v>
      </c>
      <c r="R37" s="447">
        <f t="shared" si="1"/>
        <v>98.79193720057499</v>
      </c>
      <c r="S37" s="447">
        <f t="shared" si="6"/>
        <v>98.79193720057499</v>
      </c>
      <c r="U37" s="25" t="s">
        <v>1051</v>
      </c>
      <c r="V37" s="440">
        <f t="shared" si="8"/>
        <v>98.79193720057499</v>
      </c>
    </row>
    <row r="38" spans="12:22" ht="15.75" customHeight="1">
      <c r="L38" s="43" t="s">
        <v>1052</v>
      </c>
      <c r="M38" s="446">
        <v>262632</v>
      </c>
      <c r="N38" s="447">
        <f t="shared" si="7"/>
        <v>0.7842316384577244</v>
      </c>
      <c r="O38" s="446">
        <v>262632</v>
      </c>
      <c r="P38" s="447">
        <f t="shared" si="5"/>
        <v>100</v>
      </c>
      <c r="Q38" s="446">
        <v>86965.307</v>
      </c>
      <c r="R38" s="447">
        <f t="shared" si="1"/>
        <v>33.112989658533614</v>
      </c>
      <c r="S38" s="447">
        <f t="shared" si="6"/>
        <v>33.112989658533614</v>
      </c>
      <c r="U38" s="25" t="s">
        <v>1053</v>
      </c>
      <c r="V38" s="440">
        <f t="shared" si="8"/>
        <v>33.112989658533614</v>
      </c>
    </row>
    <row r="39" spans="12:22" ht="15.75" customHeight="1">
      <c r="L39" s="43" t="s">
        <v>1054</v>
      </c>
      <c r="M39" s="446">
        <v>1002946</v>
      </c>
      <c r="N39" s="447">
        <f t="shared" si="7"/>
        <v>2.994844439613683</v>
      </c>
      <c r="O39" s="446">
        <v>1002946</v>
      </c>
      <c r="P39" s="447">
        <f t="shared" si="5"/>
        <v>100</v>
      </c>
      <c r="Q39" s="446">
        <v>518824.994</v>
      </c>
      <c r="R39" s="447">
        <f t="shared" si="1"/>
        <v>51.730102517982026</v>
      </c>
      <c r="S39" s="447">
        <f t="shared" si="6"/>
        <v>51.730102517982026</v>
      </c>
      <c r="U39" s="25" t="s">
        <v>1055</v>
      </c>
      <c r="V39" s="440">
        <f t="shared" si="8"/>
        <v>51.730102517982026</v>
      </c>
    </row>
    <row r="40" spans="12:22" ht="15.75" customHeight="1">
      <c r="L40" s="43" t="s">
        <v>1056</v>
      </c>
      <c r="M40" s="446">
        <v>108969</v>
      </c>
      <c r="N40" s="447">
        <f t="shared" si="7"/>
        <v>0.32538661477314174</v>
      </c>
      <c r="O40" s="446">
        <v>108969</v>
      </c>
      <c r="P40" s="447">
        <f t="shared" si="5"/>
        <v>100</v>
      </c>
      <c r="Q40" s="446">
        <v>76401.76</v>
      </c>
      <c r="R40" s="447">
        <f t="shared" si="1"/>
        <v>70.11329827749175</v>
      </c>
      <c r="S40" s="447">
        <f t="shared" si="6"/>
        <v>70.11329827749175</v>
      </c>
      <c r="U40" s="70" t="s">
        <v>1057</v>
      </c>
      <c r="V40" s="440">
        <f t="shared" si="8"/>
        <v>70.11329827749175</v>
      </c>
    </row>
    <row r="41" spans="12:22" ht="15.75" customHeight="1">
      <c r="L41" s="43" t="s">
        <v>1058</v>
      </c>
      <c r="M41" s="446">
        <v>1444494</v>
      </c>
      <c r="N41" s="447">
        <f t="shared" si="7"/>
        <v>4.313327760373268</v>
      </c>
      <c r="O41" s="446">
        <v>1444494</v>
      </c>
      <c r="P41" s="447">
        <f t="shared" si="5"/>
        <v>100</v>
      </c>
      <c r="Q41" s="446">
        <v>901429.508</v>
      </c>
      <c r="R41" s="447">
        <f t="shared" si="1"/>
        <v>62.404517291176006</v>
      </c>
      <c r="S41" s="447">
        <f t="shared" si="6"/>
        <v>62.404517291176006</v>
      </c>
      <c r="U41" s="25" t="s">
        <v>1059</v>
      </c>
      <c r="V41" s="440">
        <f t="shared" si="8"/>
        <v>62.404517291176006</v>
      </c>
    </row>
    <row r="42" spans="12:22" ht="15.75" customHeight="1">
      <c r="L42" s="43" t="s">
        <v>1060</v>
      </c>
      <c r="M42" s="446">
        <v>518044</v>
      </c>
      <c r="N42" s="447">
        <f t="shared" si="7"/>
        <v>1.546904013651015</v>
      </c>
      <c r="O42" s="446">
        <v>518044</v>
      </c>
      <c r="P42" s="447">
        <f t="shared" si="5"/>
        <v>100</v>
      </c>
      <c r="Q42" s="446">
        <v>369320.005</v>
      </c>
      <c r="R42" s="447">
        <f t="shared" si="1"/>
        <v>71.29124263576067</v>
      </c>
      <c r="S42" s="447">
        <f t="shared" si="6"/>
        <v>71.29124263576067</v>
      </c>
      <c r="U42" s="25" t="s">
        <v>1061</v>
      </c>
      <c r="V42" s="440">
        <f t="shared" si="8"/>
        <v>71.29124263576067</v>
      </c>
    </row>
    <row r="43" spans="12:22" ht="15.75" customHeight="1">
      <c r="L43" s="43" t="s">
        <v>1064</v>
      </c>
      <c r="M43" s="446">
        <v>38934</v>
      </c>
      <c r="N43" s="447">
        <f t="shared" si="7"/>
        <v>0.11625877506059062</v>
      </c>
      <c r="O43" s="446">
        <v>28934</v>
      </c>
      <c r="P43" s="447">
        <f t="shared" si="5"/>
        <v>74.31550829609081</v>
      </c>
      <c r="Q43" s="446">
        <v>21530.728</v>
      </c>
      <c r="R43" s="447">
        <f t="shared" si="1"/>
        <v>55.300580469512504</v>
      </c>
      <c r="S43" s="447">
        <f t="shared" si="6"/>
        <v>74.41324393447155</v>
      </c>
      <c r="U43" s="25" t="s">
        <v>1065</v>
      </c>
      <c r="V43" s="440">
        <f t="shared" si="8"/>
        <v>74.41324393447155</v>
      </c>
    </row>
    <row r="44" spans="12:22" ht="15.75" customHeight="1">
      <c r="L44" s="43" t="s">
        <v>1066</v>
      </c>
      <c r="M44" s="446">
        <v>120757</v>
      </c>
      <c r="N44" s="447">
        <f t="shared" si="7"/>
        <v>0.36058614321651367</v>
      </c>
      <c r="O44" s="446">
        <v>120757</v>
      </c>
      <c r="P44" s="447">
        <f t="shared" si="5"/>
        <v>100</v>
      </c>
      <c r="Q44" s="446">
        <v>56523.136</v>
      </c>
      <c r="R44" s="447">
        <f t="shared" si="1"/>
        <v>46.80733704878392</v>
      </c>
      <c r="S44" s="447">
        <f t="shared" si="6"/>
        <v>46.80733704878392</v>
      </c>
      <c r="U44" s="25" t="s">
        <v>1067</v>
      </c>
      <c r="V44" s="440">
        <f t="shared" si="8"/>
        <v>46.80733704878392</v>
      </c>
    </row>
    <row r="45" spans="12:22" ht="15.75" customHeight="1">
      <c r="L45" s="43" t="s">
        <v>1068</v>
      </c>
      <c r="M45" s="446">
        <v>1017145</v>
      </c>
      <c r="N45" s="447">
        <f t="shared" si="7"/>
        <v>3.0372433286845553</v>
      </c>
      <c r="O45" s="446">
        <v>1017145</v>
      </c>
      <c r="P45" s="447">
        <f t="shared" si="5"/>
        <v>100</v>
      </c>
      <c r="Q45" s="446">
        <v>983696.331</v>
      </c>
      <c r="R45" s="447">
        <f t="shared" si="1"/>
        <v>96.71151418922572</v>
      </c>
      <c r="S45" s="447">
        <f t="shared" si="6"/>
        <v>96.71151418922572</v>
      </c>
      <c r="U45" s="25" t="s">
        <v>1069</v>
      </c>
      <c r="V45" s="440">
        <f t="shared" si="8"/>
        <v>96.71151418922572</v>
      </c>
    </row>
    <row r="46" spans="12:22" ht="15.75" customHeight="1">
      <c r="L46" s="69" t="s">
        <v>411</v>
      </c>
      <c r="M46" s="446">
        <v>90639</v>
      </c>
      <c r="N46" s="447">
        <f t="shared" si="7"/>
        <v>0.27065236329986325</v>
      </c>
      <c r="O46" s="446">
        <v>90639</v>
      </c>
      <c r="P46" s="447">
        <f t="shared" si="5"/>
        <v>100</v>
      </c>
      <c r="Q46" s="446">
        <v>74246.301</v>
      </c>
      <c r="R46" s="447">
        <f t="shared" si="1"/>
        <v>81.91429848078643</v>
      </c>
      <c r="S46" s="447">
        <f t="shared" si="6"/>
        <v>81.91429848078643</v>
      </c>
      <c r="U46" s="25" t="s">
        <v>1070</v>
      </c>
      <c r="V46" s="440">
        <f t="shared" si="8"/>
        <v>81.91429848078643</v>
      </c>
    </row>
    <row r="47" spans="12:22" ht="15.75" customHeight="1">
      <c r="L47" s="43" t="s">
        <v>1072</v>
      </c>
      <c r="M47" s="446">
        <v>53290</v>
      </c>
      <c r="N47" s="453">
        <f t="shared" si="7"/>
        <v>0.15912647359579993</v>
      </c>
      <c r="O47" s="446">
        <v>53290</v>
      </c>
      <c r="P47" s="447">
        <f t="shared" si="5"/>
        <v>100</v>
      </c>
      <c r="Q47" s="446">
        <v>51319.574</v>
      </c>
      <c r="R47" s="447">
        <f t="shared" si="1"/>
        <v>96.30244698817789</v>
      </c>
      <c r="S47" s="447">
        <f t="shared" si="6"/>
        <v>96.30244698817789</v>
      </c>
      <c r="U47" s="25" t="s">
        <v>1073</v>
      </c>
      <c r="V47" s="440">
        <f t="shared" si="8"/>
        <v>96.30244698817789</v>
      </c>
    </row>
    <row r="48" spans="12:22" ht="15.75" customHeight="1" thickBot="1">
      <c r="L48" s="454" t="s">
        <v>1078</v>
      </c>
      <c r="M48" s="455">
        <v>330000</v>
      </c>
      <c r="N48" s="456">
        <f t="shared" si="7"/>
        <v>0.9853956893716267</v>
      </c>
      <c r="O48" s="457">
        <v>219254.235</v>
      </c>
      <c r="P48" s="456">
        <f t="shared" si="5"/>
        <v>66.44067727272727</v>
      </c>
      <c r="Q48" s="457">
        <v>219254.235</v>
      </c>
      <c r="R48" s="456">
        <f t="shared" si="1"/>
        <v>66.44067727272727</v>
      </c>
      <c r="S48" s="456">
        <f t="shared" si="6"/>
        <v>100</v>
      </c>
      <c r="U48" s="71" t="s">
        <v>1079</v>
      </c>
      <c r="V48" s="440">
        <f t="shared" si="8"/>
        <v>100</v>
      </c>
    </row>
    <row r="49" ht="15.75" customHeight="1">
      <c r="L49" s="459" t="s">
        <v>899</v>
      </c>
    </row>
    <row r="50" spans="2:19" ht="15" customHeight="1">
      <c r="B50" s="899" t="s">
        <v>1285</v>
      </c>
      <c r="C50" s="899"/>
      <c r="D50" s="899"/>
      <c r="E50" s="899"/>
      <c r="F50" s="899"/>
      <c r="G50" s="899"/>
      <c r="H50" s="899"/>
      <c r="I50" s="899"/>
      <c r="J50" s="899"/>
      <c r="K50" s="37"/>
      <c r="L50" s="899" t="s">
        <v>1286</v>
      </c>
      <c r="M50" s="899"/>
      <c r="N50" s="899"/>
      <c r="O50" s="899"/>
      <c r="P50" s="899"/>
      <c r="Q50" s="899"/>
      <c r="R50" s="899"/>
      <c r="S50" s="899"/>
    </row>
    <row r="233" ht="24.75" customHeight="1"/>
  </sheetData>
  <mergeCells count="14">
    <mergeCell ref="B1:J1"/>
    <mergeCell ref="M4:N4"/>
    <mergeCell ref="O4:P4"/>
    <mergeCell ref="L1:S1"/>
    <mergeCell ref="Q4:S4"/>
    <mergeCell ref="R2:S2"/>
    <mergeCell ref="R3:S3"/>
    <mergeCell ref="B2:J9"/>
    <mergeCell ref="Q5:S5"/>
    <mergeCell ref="L50:S50"/>
    <mergeCell ref="M5:N5"/>
    <mergeCell ref="B50:J50"/>
    <mergeCell ref="O5:P5"/>
    <mergeCell ref="L4:L6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X19"/>
  <sheetViews>
    <sheetView workbookViewId="0" topLeftCell="B1">
      <selection activeCell="B2" sqref="B2:J3"/>
    </sheetView>
  </sheetViews>
  <sheetFormatPr defaultColWidth="9.00390625" defaultRowHeight="45" customHeight="1"/>
  <cols>
    <col min="1" max="1" width="2.625" style="0" customWidth="1"/>
    <col min="10" max="10" width="16.25390625" style="0" customWidth="1"/>
    <col min="11" max="11" width="2.625" style="0" customWidth="1"/>
    <col min="12" max="12" width="22.875" style="3" customWidth="1"/>
    <col min="13" max="19" width="10.125" style="3" customWidth="1"/>
    <col min="20" max="20" width="5.75390625" style="0" customWidth="1"/>
    <col min="21" max="21" width="11.875" style="0" customWidth="1"/>
    <col min="22" max="22" width="9.75390625" style="0" customWidth="1"/>
  </cols>
  <sheetData>
    <row r="1" spans="2:19" ht="49.5" customHeight="1">
      <c r="B1" s="776" t="s">
        <v>1378</v>
      </c>
      <c r="C1" s="776"/>
      <c r="D1" s="776"/>
      <c r="E1" s="776"/>
      <c r="F1" s="776"/>
      <c r="G1" s="776"/>
      <c r="H1" s="776"/>
      <c r="I1" s="776"/>
      <c r="J1" s="776"/>
      <c r="K1" s="64"/>
      <c r="L1" s="1261" t="s">
        <v>1423</v>
      </c>
      <c r="M1" s="1262"/>
      <c r="N1" s="1262"/>
      <c r="O1" s="1262"/>
      <c r="P1" s="1262"/>
      <c r="Q1" s="1262"/>
      <c r="R1" s="1262"/>
      <c r="S1" s="1262"/>
    </row>
    <row r="2" spans="2:19" s="2" customFormat="1" ht="39.75" customHeight="1" thickBot="1">
      <c r="B2" s="1193" t="s">
        <v>921</v>
      </c>
      <c r="C2" s="1193"/>
      <c r="D2" s="1193"/>
      <c r="E2" s="1193"/>
      <c r="F2" s="1193"/>
      <c r="G2" s="1193"/>
      <c r="H2" s="1193"/>
      <c r="I2" s="1193"/>
      <c r="J2" s="1193"/>
      <c r="K2" s="64"/>
      <c r="L2" s="3"/>
      <c r="M2" s="3"/>
      <c r="N2" s="3"/>
      <c r="O2" s="3"/>
      <c r="P2" s="3"/>
      <c r="Q2" s="3"/>
      <c r="R2" s="1272" t="s">
        <v>1011</v>
      </c>
      <c r="S2" s="1273"/>
    </row>
    <row r="3" spans="2:19" s="2" customFormat="1" ht="30" customHeight="1">
      <c r="B3" s="1193"/>
      <c r="C3" s="1193"/>
      <c r="D3" s="1193"/>
      <c r="E3" s="1193"/>
      <c r="F3" s="1193"/>
      <c r="G3" s="1193"/>
      <c r="H3" s="1193"/>
      <c r="I3" s="1193"/>
      <c r="J3" s="1193"/>
      <c r="K3" s="398"/>
      <c r="L3" s="1254" t="s">
        <v>1038</v>
      </c>
      <c r="M3" s="1274" t="s">
        <v>1418</v>
      </c>
      <c r="N3" s="1271"/>
      <c r="O3" s="1266" t="s">
        <v>1419</v>
      </c>
      <c r="P3" s="1267"/>
      <c r="Q3" s="1266" t="s">
        <v>1424</v>
      </c>
      <c r="R3" s="1271"/>
      <c r="S3" s="1271"/>
    </row>
    <row r="4" spans="2:19" s="2" customFormat="1" ht="30" customHeight="1">
      <c r="B4" s="307"/>
      <c r="C4" s="307"/>
      <c r="D4" s="307"/>
      <c r="E4" s="307"/>
      <c r="F4" s="307"/>
      <c r="G4" s="307"/>
      <c r="H4" s="307"/>
      <c r="I4" s="307"/>
      <c r="J4" s="307"/>
      <c r="K4" s="398"/>
      <c r="L4" s="1269"/>
      <c r="M4" s="1252" t="s">
        <v>1272</v>
      </c>
      <c r="N4" s="1252"/>
      <c r="O4" s="1253" t="s">
        <v>1272</v>
      </c>
      <c r="P4" s="1062"/>
      <c r="Q4" s="1253" t="s">
        <v>1272</v>
      </c>
      <c r="R4" s="1252"/>
      <c r="S4" s="1252"/>
    </row>
    <row r="5" spans="2:19" s="2" customFormat="1" ht="30" customHeight="1" thickBot="1">
      <c r="B5" s="307"/>
      <c r="C5" s="307"/>
      <c r="D5" s="307"/>
      <c r="E5" s="307"/>
      <c r="F5" s="307"/>
      <c r="G5" s="307"/>
      <c r="H5" s="307"/>
      <c r="I5" s="307"/>
      <c r="J5" s="307"/>
      <c r="K5" s="398"/>
      <c r="L5" s="1270"/>
      <c r="M5" s="468" t="s">
        <v>1421</v>
      </c>
      <c r="N5" s="469" t="s">
        <v>1118</v>
      </c>
      <c r="O5" s="468" t="s">
        <v>1421</v>
      </c>
      <c r="P5" s="469" t="s">
        <v>1119</v>
      </c>
      <c r="Q5" s="468" t="s">
        <v>1421</v>
      </c>
      <c r="R5" s="469" t="s">
        <v>1119</v>
      </c>
      <c r="S5" s="470" t="s">
        <v>1120</v>
      </c>
    </row>
    <row r="6" spans="2:19" ht="39.75" customHeight="1">
      <c r="B6" s="307"/>
      <c r="C6" s="307"/>
      <c r="D6" s="307"/>
      <c r="E6" s="307"/>
      <c r="F6" s="307"/>
      <c r="G6" s="307"/>
      <c r="H6" s="307"/>
      <c r="I6" s="307"/>
      <c r="J6" s="307"/>
      <c r="K6" s="398"/>
      <c r="L6" s="73" t="s">
        <v>5</v>
      </c>
      <c r="M6" s="6">
        <f>M7+M15</f>
        <v>31804986</v>
      </c>
      <c r="N6" s="290">
        <f>N7+N15</f>
        <v>100</v>
      </c>
      <c r="O6" s="6">
        <f>O7+O15</f>
        <v>31804986</v>
      </c>
      <c r="P6" s="429">
        <f aca="true" t="shared" si="0" ref="P6:P16">O6/M6*100</f>
        <v>100</v>
      </c>
      <c r="Q6" s="6">
        <f>Q7+Q15</f>
        <v>16859512.251</v>
      </c>
      <c r="R6" s="429">
        <f aca="true" t="shared" si="1" ref="R6:R13">Q6/M6*100</f>
        <v>53.00902270794899</v>
      </c>
      <c r="S6" s="429">
        <f aca="true" t="shared" si="2" ref="S6:S16">Q6/O6*100</f>
        <v>53.00902270794899</v>
      </c>
    </row>
    <row r="7" spans="2:23" ht="39.75" customHeight="1">
      <c r="B7" s="307"/>
      <c r="C7" s="307"/>
      <c r="D7" s="307"/>
      <c r="E7" s="307"/>
      <c r="F7" s="307"/>
      <c r="G7" s="307"/>
      <c r="H7" s="307"/>
      <c r="I7" s="307"/>
      <c r="J7" s="307"/>
      <c r="K7" s="398"/>
      <c r="L7" s="471" t="s">
        <v>114</v>
      </c>
      <c r="M7" s="6">
        <f>SUM(M8:M14)</f>
        <v>31794986</v>
      </c>
      <c r="N7" s="290">
        <f aca="true" t="shared" si="3" ref="N7:N13">M7/$M$6*100</f>
        <v>99.96855838892682</v>
      </c>
      <c r="O7" s="6">
        <f>SUM(O8:O14)</f>
        <v>31794986</v>
      </c>
      <c r="P7" s="429">
        <f t="shared" si="0"/>
        <v>100</v>
      </c>
      <c r="Q7" s="6">
        <f>SUM(Q8:Q14)</f>
        <v>16841862.075999998</v>
      </c>
      <c r="R7" s="429">
        <f t="shared" si="1"/>
        <v>52.97018239290936</v>
      </c>
      <c r="S7" s="429">
        <f t="shared" si="2"/>
        <v>52.97018239290936</v>
      </c>
      <c r="W7" s="4"/>
    </row>
    <row r="8" spans="12:24" ht="39.75" customHeight="1">
      <c r="L8" s="472" t="s">
        <v>116</v>
      </c>
      <c r="M8" s="6">
        <v>4983006</v>
      </c>
      <c r="N8" s="290">
        <f t="shared" si="3"/>
        <v>15.667373662733258</v>
      </c>
      <c r="O8" s="6">
        <v>4983006</v>
      </c>
      <c r="P8" s="429">
        <f t="shared" si="0"/>
        <v>100</v>
      </c>
      <c r="Q8" s="132">
        <v>5582783.688</v>
      </c>
      <c r="R8" s="429">
        <f t="shared" si="1"/>
        <v>112.03646329143493</v>
      </c>
      <c r="S8" s="429">
        <f t="shared" si="2"/>
        <v>112.03646329143493</v>
      </c>
      <c r="T8" s="51"/>
      <c r="U8" s="73" t="s">
        <v>1121</v>
      </c>
      <c r="V8" s="21">
        <f aca="true" t="shared" si="4" ref="V8:V14">M8</f>
        <v>4983006</v>
      </c>
      <c r="W8" s="73" t="s">
        <v>1121</v>
      </c>
      <c r="X8" s="74">
        <f aca="true" t="shared" si="5" ref="X8:X14">S8</f>
        <v>112.03646329143493</v>
      </c>
    </row>
    <row r="9" spans="12:24" ht="39.75" customHeight="1">
      <c r="L9" s="472" t="s">
        <v>117</v>
      </c>
      <c r="M9" s="6">
        <v>299474</v>
      </c>
      <c r="N9" s="290">
        <f t="shared" si="3"/>
        <v>0.941594503453012</v>
      </c>
      <c r="O9" s="6">
        <v>299474</v>
      </c>
      <c r="P9" s="429">
        <f t="shared" si="0"/>
        <v>100</v>
      </c>
      <c r="Q9" s="132">
        <v>212562.202</v>
      </c>
      <c r="R9" s="429">
        <f t="shared" si="1"/>
        <v>70.9785163319687</v>
      </c>
      <c r="S9" s="429">
        <f t="shared" si="2"/>
        <v>70.9785163319687</v>
      </c>
      <c r="T9" s="51"/>
      <c r="U9" s="73" t="s">
        <v>1122</v>
      </c>
      <c r="V9" s="21">
        <f t="shared" si="4"/>
        <v>299474</v>
      </c>
      <c r="W9" s="73" t="s">
        <v>1122</v>
      </c>
      <c r="X9" s="74">
        <f t="shared" si="5"/>
        <v>70.9785163319687</v>
      </c>
    </row>
    <row r="10" spans="12:24" ht="39.75" customHeight="1">
      <c r="L10" s="472" t="s">
        <v>118</v>
      </c>
      <c r="M10" s="6">
        <v>329581</v>
      </c>
      <c r="N10" s="290">
        <f t="shared" si="3"/>
        <v>1.0362557619110413</v>
      </c>
      <c r="O10" s="6">
        <v>329581</v>
      </c>
      <c r="P10" s="429">
        <f t="shared" si="0"/>
        <v>100</v>
      </c>
      <c r="Q10" s="132">
        <v>337626.299</v>
      </c>
      <c r="R10" s="429">
        <f t="shared" si="1"/>
        <v>102.44106881161233</v>
      </c>
      <c r="S10" s="429">
        <f t="shared" si="2"/>
        <v>102.44106881161233</v>
      </c>
      <c r="T10" s="51"/>
      <c r="U10" s="73" t="s">
        <v>1123</v>
      </c>
      <c r="V10" s="21">
        <f t="shared" si="4"/>
        <v>329581</v>
      </c>
      <c r="W10" s="73" t="s">
        <v>1123</v>
      </c>
      <c r="X10" s="74">
        <f t="shared" si="5"/>
        <v>102.44106881161233</v>
      </c>
    </row>
    <row r="11" spans="12:24" ht="39.75" customHeight="1">
      <c r="L11" s="472" t="s">
        <v>119</v>
      </c>
      <c r="M11" s="6">
        <v>14348</v>
      </c>
      <c r="N11" s="290">
        <f t="shared" si="3"/>
        <v>0.0451124235678016</v>
      </c>
      <c r="O11" s="6">
        <v>14348</v>
      </c>
      <c r="P11" s="429">
        <f t="shared" si="0"/>
        <v>100</v>
      </c>
      <c r="Q11" s="6">
        <v>21930.038</v>
      </c>
      <c r="R11" s="429">
        <f t="shared" si="1"/>
        <v>152.8438667410092</v>
      </c>
      <c r="S11" s="429">
        <f t="shared" si="2"/>
        <v>152.8438667410092</v>
      </c>
      <c r="T11" s="51"/>
      <c r="U11" s="73" t="s">
        <v>1124</v>
      </c>
      <c r="V11" s="21">
        <f t="shared" si="4"/>
        <v>14348</v>
      </c>
      <c r="W11" s="73" t="s">
        <v>1124</v>
      </c>
      <c r="X11" s="74">
        <f t="shared" si="5"/>
        <v>152.8438667410092</v>
      </c>
    </row>
    <row r="12" spans="12:24" ht="39.75" customHeight="1">
      <c r="L12" s="472" t="s">
        <v>120</v>
      </c>
      <c r="M12" s="6">
        <v>269362</v>
      </c>
      <c r="N12" s="290">
        <f t="shared" si="3"/>
        <v>0.8469175241894463</v>
      </c>
      <c r="O12" s="6">
        <v>269362</v>
      </c>
      <c r="P12" s="429">
        <f t="shared" si="0"/>
        <v>100</v>
      </c>
      <c r="Q12" s="6">
        <v>147426.043</v>
      </c>
      <c r="R12" s="430">
        <f t="shared" si="1"/>
        <v>54.73156681343323</v>
      </c>
      <c r="S12" s="429">
        <f t="shared" si="2"/>
        <v>54.73156681343323</v>
      </c>
      <c r="T12" s="51"/>
      <c r="U12" s="73" t="s">
        <v>1125</v>
      </c>
      <c r="V12" s="21">
        <f t="shared" si="4"/>
        <v>269362</v>
      </c>
      <c r="W12" s="73" t="s">
        <v>1125</v>
      </c>
      <c r="X12" s="74">
        <f t="shared" si="5"/>
        <v>54.73156681343323</v>
      </c>
    </row>
    <row r="13" spans="12:24" ht="39.75" customHeight="1">
      <c r="L13" s="472" t="s">
        <v>121</v>
      </c>
      <c r="M13" s="6">
        <v>25674493</v>
      </c>
      <c r="N13" s="290">
        <f t="shared" si="3"/>
        <v>80.72474234071349</v>
      </c>
      <c r="O13" s="6">
        <v>25674493</v>
      </c>
      <c r="P13" s="429">
        <f t="shared" si="0"/>
        <v>100</v>
      </c>
      <c r="Q13" s="6">
        <v>10245044.339</v>
      </c>
      <c r="R13" s="429">
        <f t="shared" si="1"/>
        <v>39.903589679453454</v>
      </c>
      <c r="S13" s="429">
        <f t="shared" si="2"/>
        <v>39.903589679453454</v>
      </c>
      <c r="T13" s="51"/>
      <c r="U13" s="73" t="s">
        <v>1126</v>
      </c>
      <c r="V13" s="21">
        <f t="shared" si="4"/>
        <v>25674493</v>
      </c>
      <c r="W13" s="73" t="s">
        <v>1126</v>
      </c>
      <c r="X13" s="74">
        <f t="shared" si="5"/>
        <v>39.903589679453454</v>
      </c>
    </row>
    <row r="14" spans="12:24" ht="39.75" customHeight="1">
      <c r="L14" s="472" t="s">
        <v>122</v>
      </c>
      <c r="M14" s="132">
        <v>224722</v>
      </c>
      <c r="N14" s="290">
        <f>M14/$M$6*100</f>
        <v>0.7065621723587616</v>
      </c>
      <c r="O14" s="6">
        <v>224722</v>
      </c>
      <c r="P14" s="429">
        <f t="shared" si="0"/>
        <v>100</v>
      </c>
      <c r="Q14" s="132">
        <v>294489.467</v>
      </c>
      <c r="R14" s="429">
        <f>Q14/M14*100</f>
        <v>131.04612232002205</v>
      </c>
      <c r="S14" s="429">
        <f t="shared" si="2"/>
        <v>131.04612232002205</v>
      </c>
      <c r="T14" s="51"/>
      <c r="U14" s="73" t="s">
        <v>1127</v>
      </c>
      <c r="V14" s="21">
        <f t="shared" si="4"/>
        <v>224722</v>
      </c>
      <c r="W14" s="73" t="s">
        <v>1127</v>
      </c>
      <c r="X14" s="74">
        <f t="shared" si="5"/>
        <v>131.04612232002205</v>
      </c>
    </row>
    <row r="15" spans="12:22" ht="39.75" customHeight="1">
      <c r="L15" s="73" t="s">
        <v>115</v>
      </c>
      <c r="M15" s="132">
        <f>M16</f>
        <v>10000</v>
      </c>
      <c r="N15" s="290">
        <f>M15/$M$6*100</f>
        <v>0.03144161107318205</v>
      </c>
      <c r="O15" s="6">
        <f>O16</f>
        <v>10000</v>
      </c>
      <c r="P15" s="570">
        <f t="shared" si="0"/>
        <v>100</v>
      </c>
      <c r="Q15" s="6">
        <f>Q16</f>
        <v>17650.175</v>
      </c>
      <c r="R15" s="570">
        <f>Q15/M15*100</f>
        <v>176.50175</v>
      </c>
      <c r="S15" s="429">
        <f t="shared" si="2"/>
        <v>176.50175</v>
      </c>
      <c r="U15" s="4"/>
      <c r="V15" s="75">
        <f>SUM(V8:V14)</f>
        <v>31794986</v>
      </c>
    </row>
    <row r="16" spans="12:22" ht="39.75" customHeight="1" thickBot="1">
      <c r="L16" s="473" t="s">
        <v>123</v>
      </c>
      <c r="M16" s="61">
        <v>10000</v>
      </c>
      <c r="N16" s="290">
        <f>M16/$M$6*100</f>
        <v>0.03144161107318205</v>
      </c>
      <c r="O16" s="6">
        <v>10000</v>
      </c>
      <c r="P16" s="570">
        <f t="shared" si="0"/>
        <v>100</v>
      </c>
      <c r="Q16" s="6">
        <v>17650.175</v>
      </c>
      <c r="R16" s="570">
        <f>Q16/M16*100</f>
        <v>176.50175</v>
      </c>
      <c r="S16" s="429">
        <f t="shared" si="2"/>
        <v>176.50175</v>
      </c>
      <c r="U16" s="4"/>
      <c r="V16" s="75"/>
    </row>
    <row r="17" spans="12:21" ht="39.75" customHeight="1">
      <c r="L17" s="76" t="s">
        <v>1012</v>
      </c>
      <c r="M17" s="431"/>
      <c r="N17" s="431"/>
      <c r="O17" s="431"/>
      <c r="P17" s="431"/>
      <c r="Q17" s="431"/>
      <c r="R17" s="431"/>
      <c r="S17" s="432"/>
      <c r="U17" s="4"/>
    </row>
    <row r="18" ht="26.25" customHeight="1">
      <c r="U18" s="4"/>
    </row>
    <row r="19" spans="2:19" ht="150.75" customHeight="1">
      <c r="B19" s="899" t="s">
        <v>1287</v>
      </c>
      <c r="C19" s="1268"/>
      <c r="D19" s="1268"/>
      <c r="E19" s="1268"/>
      <c r="F19" s="1268"/>
      <c r="G19" s="1268"/>
      <c r="H19" s="1268"/>
      <c r="I19" s="1268"/>
      <c r="J19" s="1268"/>
      <c r="K19" s="1"/>
      <c r="L19" s="899" t="s">
        <v>1288</v>
      </c>
      <c r="M19" s="899"/>
      <c r="N19" s="899"/>
      <c r="O19" s="899"/>
      <c r="P19" s="899"/>
      <c r="Q19" s="899"/>
      <c r="R19" s="899"/>
      <c r="S19" s="899"/>
    </row>
    <row r="231" ht="24.75" customHeight="1"/>
  </sheetData>
  <mergeCells count="13">
    <mergeCell ref="B1:J1"/>
    <mergeCell ref="L1:S1"/>
    <mergeCell ref="L3:L5"/>
    <mergeCell ref="O4:P4"/>
    <mergeCell ref="Q3:S3"/>
    <mergeCell ref="R2:S2"/>
    <mergeCell ref="Q4:S4"/>
    <mergeCell ref="M3:N3"/>
    <mergeCell ref="M4:N4"/>
    <mergeCell ref="L19:S19"/>
    <mergeCell ref="O3:P3"/>
    <mergeCell ref="B19:J19"/>
    <mergeCell ref="B2:J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Y79"/>
  <sheetViews>
    <sheetView workbookViewId="0" topLeftCell="A1">
      <selection activeCell="B1" sqref="B1:J1"/>
    </sheetView>
  </sheetViews>
  <sheetFormatPr defaultColWidth="9.00390625" defaultRowHeight="19.5" customHeight="1"/>
  <cols>
    <col min="1" max="1" width="2.625" style="0" customWidth="1"/>
    <col min="10" max="10" width="16.375" style="0" customWidth="1"/>
    <col min="11" max="11" width="2.625" style="0" customWidth="1"/>
    <col min="12" max="12" width="14.50390625" style="3" customWidth="1"/>
    <col min="13" max="18" width="13.125" style="3" customWidth="1"/>
    <col min="19" max="19" width="7.625" style="0" customWidth="1"/>
    <col min="20" max="20" width="10.25390625" style="0" customWidth="1"/>
    <col min="21" max="21" width="9.125" style="0" bestFit="1" customWidth="1"/>
    <col min="22" max="22" width="9.75390625" style="0" bestFit="1" customWidth="1"/>
    <col min="25" max="25" width="9.25390625" style="0" bestFit="1" customWidth="1"/>
  </cols>
  <sheetData>
    <row r="1" spans="2:18" s="77" customFormat="1" ht="49.5" customHeight="1">
      <c r="B1" s="1287" t="s">
        <v>1379</v>
      </c>
      <c r="C1" s="1287"/>
      <c r="D1" s="1287"/>
      <c r="E1" s="1287"/>
      <c r="F1" s="1287"/>
      <c r="G1" s="1287"/>
      <c r="H1" s="1287"/>
      <c r="I1" s="1287"/>
      <c r="J1" s="1287"/>
      <c r="K1" s="406"/>
      <c r="L1" s="475"/>
      <c r="M1" s="1285" t="s">
        <v>1130</v>
      </c>
      <c r="N1" s="1286"/>
      <c r="O1" s="1286"/>
      <c r="P1" s="1286"/>
      <c r="Q1" s="1286"/>
      <c r="R1" s="484"/>
    </row>
    <row r="2" spans="2:18" s="77" customFormat="1" ht="33" customHeight="1" thickBot="1">
      <c r="B2" s="1298" t="s">
        <v>246</v>
      </c>
      <c r="C2" s="1298"/>
      <c r="D2" s="1298"/>
      <c r="E2" s="1298"/>
      <c r="F2" s="1298"/>
      <c r="G2" s="1298"/>
      <c r="H2" s="1298"/>
      <c r="I2" s="1298"/>
      <c r="J2" s="1298"/>
      <c r="K2" s="406"/>
      <c r="L2" s="474"/>
      <c r="M2" s="485"/>
      <c r="N2" s="485"/>
      <c r="O2" s="485"/>
      <c r="P2" s="485"/>
      <c r="Q2" s="1272" t="s">
        <v>135</v>
      </c>
      <c r="R2" s="1272"/>
    </row>
    <row r="3" spans="2:18" s="78" customFormat="1" ht="33" customHeight="1">
      <c r="B3" s="1298"/>
      <c r="C3" s="1298"/>
      <c r="D3" s="1298"/>
      <c r="E3" s="1298"/>
      <c r="F3" s="1298"/>
      <c r="G3" s="1298"/>
      <c r="H3" s="1298"/>
      <c r="I3" s="1298"/>
      <c r="J3" s="1298"/>
      <c r="K3" s="403"/>
      <c r="L3" s="951" t="s">
        <v>218</v>
      </c>
      <c r="M3" s="1295" t="s">
        <v>388</v>
      </c>
      <c r="N3" s="1290" t="s">
        <v>219</v>
      </c>
      <c r="O3" s="1291"/>
      <c r="P3" s="1291"/>
      <c r="Q3" s="1291"/>
      <c r="R3" s="1292"/>
    </row>
    <row r="4" spans="2:18" s="78" customFormat="1" ht="32.25" customHeight="1">
      <c r="B4" s="1298"/>
      <c r="C4" s="1298"/>
      <c r="D4" s="1298"/>
      <c r="E4" s="1298"/>
      <c r="F4" s="1298"/>
      <c r="G4" s="1298"/>
      <c r="H4" s="1298"/>
      <c r="I4" s="1298"/>
      <c r="J4" s="1298"/>
      <c r="K4" s="403"/>
      <c r="L4" s="952"/>
      <c r="M4" s="1296"/>
      <c r="N4" s="1275" t="s">
        <v>136</v>
      </c>
      <c r="O4" s="1277" t="s">
        <v>137</v>
      </c>
      <c r="P4" s="1278"/>
      <c r="Q4" s="1275" t="s">
        <v>138</v>
      </c>
      <c r="R4" s="1279" t="s">
        <v>139</v>
      </c>
    </row>
    <row r="5" spans="2:18" s="79" customFormat="1" ht="33" customHeight="1" thickBot="1">
      <c r="B5" s="1298"/>
      <c r="C5" s="1298"/>
      <c r="D5" s="1298"/>
      <c r="E5" s="1298"/>
      <c r="F5" s="1298"/>
      <c r="G5" s="1298"/>
      <c r="H5" s="1298"/>
      <c r="I5" s="1298"/>
      <c r="J5" s="1298"/>
      <c r="K5" s="403"/>
      <c r="L5" s="1200"/>
      <c r="M5" s="1297"/>
      <c r="N5" s="1276"/>
      <c r="O5" s="490" t="s">
        <v>140</v>
      </c>
      <c r="P5" s="490" t="s">
        <v>141</v>
      </c>
      <c r="Q5" s="1276"/>
      <c r="R5" s="1280"/>
    </row>
    <row r="6" spans="2:25" ht="24.75" customHeight="1" hidden="1">
      <c r="B6" s="1298"/>
      <c r="C6" s="1298"/>
      <c r="D6" s="1298"/>
      <c r="E6" s="1298"/>
      <c r="F6" s="1298"/>
      <c r="G6" s="1298"/>
      <c r="H6" s="1298"/>
      <c r="I6" s="1298"/>
      <c r="J6" s="1298"/>
      <c r="K6" s="403"/>
      <c r="L6" s="17" t="s">
        <v>1393</v>
      </c>
      <c r="M6" s="476">
        <v>1271</v>
      </c>
      <c r="N6" s="477">
        <v>1909</v>
      </c>
      <c r="O6" s="477">
        <v>2168</v>
      </c>
      <c r="P6" s="80" t="s">
        <v>124</v>
      </c>
      <c r="Q6" s="477">
        <v>23291</v>
      </c>
      <c r="R6" s="477">
        <v>2381567</v>
      </c>
      <c r="T6" s="33" t="s">
        <v>918</v>
      </c>
      <c r="U6" s="42">
        <v>1216</v>
      </c>
      <c r="W6" s="33" t="s">
        <v>917</v>
      </c>
      <c r="X6" s="81">
        <v>23753</v>
      </c>
      <c r="Y6" s="81">
        <v>2557101</v>
      </c>
    </row>
    <row r="7" spans="2:18" ht="24.75" customHeight="1" hidden="1">
      <c r="B7" s="1298"/>
      <c r="C7" s="1298"/>
      <c r="D7" s="1298"/>
      <c r="E7" s="1298"/>
      <c r="F7" s="1298"/>
      <c r="G7" s="1298"/>
      <c r="H7" s="1298"/>
      <c r="I7" s="1298"/>
      <c r="J7" s="1298"/>
      <c r="K7" s="403"/>
      <c r="L7" s="22" t="s">
        <v>1014</v>
      </c>
      <c r="M7" s="478">
        <v>1199</v>
      </c>
      <c r="N7" s="477">
        <v>1072</v>
      </c>
      <c r="O7" s="477">
        <v>610</v>
      </c>
      <c r="P7" s="80" t="s">
        <v>124</v>
      </c>
      <c r="Q7" s="477">
        <f>Q6+N7-O7</f>
        <v>23753</v>
      </c>
      <c r="R7" s="477">
        <v>2557101</v>
      </c>
    </row>
    <row r="8" spans="2:18" ht="24.75" customHeight="1" hidden="1">
      <c r="B8" s="1298"/>
      <c r="C8" s="1298"/>
      <c r="D8" s="1298"/>
      <c r="E8" s="1298"/>
      <c r="F8" s="1298"/>
      <c r="G8" s="1298"/>
      <c r="H8" s="1298"/>
      <c r="I8" s="1298"/>
      <c r="J8" s="1298"/>
      <c r="K8" s="403"/>
      <c r="L8" s="117"/>
      <c r="M8" s="478"/>
      <c r="N8" s="477"/>
      <c r="O8" s="477"/>
      <c r="Q8" s="477"/>
      <c r="R8" s="477"/>
    </row>
    <row r="9" spans="2:18" ht="20.25" customHeight="1" hidden="1">
      <c r="B9" s="1298"/>
      <c r="C9" s="1298"/>
      <c r="D9" s="1298"/>
      <c r="E9" s="1298"/>
      <c r="F9" s="1298"/>
      <c r="G9" s="1298"/>
      <c r="H9" s="1298"/>
      <c r="I9" s="1298"/>
      <c r="J9" s="1298"/>
      <c r="K9" s="403"/>
      <c r="L9" s="17" t="s">
        <v>983</v>
      </c>
      <c r="M9" s="478">
        <v>1216</v>
      </c>
      <c r="N9" s="477">
        <v>1311</v>
      </c>
      <c r="O9" s="477">
        <v>532</v>
      </c>
      <c r="P9" s="80" t="s">
        <v>1007</v>
      </c>
      <c r="Q9" s="477">
        <f>Q7+N9-O9</f>
        <v>24532</v>
      </c>
      <c r="R9" s="477">
        <v>2690226</v>
      </c>
    </row>
    <row r="10" spans="2:18" ht="24.75" customHeight="1" hidden="1">
      <c r="B10" s="1298"/>
      <c r="C10" s="1298"/>
      <c r="D10" s="1298"/>
      <c r="E10" s="1298"/>
      <c r="F10" s="1298"/>
      <c r="G10" s="1298"/>
      <c r="H10" s="1298"/>
      <c r="I10" s="1298"/>
      <c r="J10" s="1298"/>
      <c r="L10" s="17" t="s">
        <v>984</v>
      </c>
      <c r="M10" s="478">
        <v>1202</v>
      </c>
      <c r="N10" s="477">
        <v>1227</v>
      </c>
      <c r="O10" s="477">
        <v>487</v>
      </c>
      <c r="P10" s="80" t="s">
        <v>1007</v>
      </c>
      <c r="Q10" s="477">
        <v>25272</v>
      </c>
      <c r="R10" s="477">
        <v>2957995</v>
      </c>
    </row>
    <row r="11" spans="2:18" ht="27" customHeight="1" hidden="1">
      <c r="B11" s="1298"/>
      <c r="C11" s="1298"/>
      <c r="D11" s="1298"/>
      <c r="E11" s="1298"/>
      <c r="F11" s="1298"/>
      <c r="G11" s="1298"/>
      <c r="H11" s="1298"/>
      <c r="I11" s="1298"/>
      <c r="J11" s="1298"/>
      <c r="L11" s="17" t="s">
        <v>985</v>
      </c>
      <c r="M11" s="478">
        <v>1211</v>
      </c>
      <c r="N11" s="477">
        <v>1239</v>
      </c>
      <c r="O11" s="477">
        <v>759</v>
      </c>
      <c r="P11" s="498" t="s">
        <v>1007</v>
      </c>
      <c r="Q11" s="477">
        <v>25752</v>
      </c>
      <c r="R11" s="477">
        <v>3362741</v>
      </c>
    </row>
    <row r="12" spans="2:18" ht="27" customHeight="1">
      <c r="B12" s="1298"/>
      <c r="C12" s="1298"/>
      <c r="D12" s="1298"/>
      <c r="E12" s="1298"/>
      <c r="F12" s="1298"/>
      <c r="G12" s="1298"/>
      <c r="H12" s="1298"/>
      <c r="I12" s="1298"/>
      <c r="J12" s="1298"/>
      <c r="L12" s="17" t="s">
        <v>125</v>
      </c>
      <c r="M12" s="478">
        <v>1125</v>
      </c>
      <c r="N12" s="477">
        <v>1249</v>
      </c>
      <c r="O12" s="477">
        <v>794</v>
      </c>
      <c r="P12" s="498" t="s">
        <v>1007</v>
      </c>
      <c r="Q12" s="477">
        <v>26207</v>
      </c>
      <c r="R12" s="477">
        <v>3611832</v>
      </c>
    </row>
    <row r="13" spans="12:18" ht="27" customHeight="1">
      <c r="L13" s="17" t="s">
        <v>987</v>
      </c>
      <c r="M13" s="478">
        <v>1146</v>
      </c>
      <c r="N13" s="477">
        <v>1163</v>
      </c>
      <c r="O13" s="477">
        <v>5458</v>
      </c>
      <c r="P13" s="498" t="s">
        <v>1007</v>
      </c>
      <c r="Q13" s="477">
        <v>21912</v>
      </c>
      <c r="R13" s="477">
        <v>3417588</v>
      </c>
    </row>
    <row r="14" spans="12:19" ht="27" customHeight="1">
      <c r="L14" s="458" t="s">
        <v>988</v>
      </c>
      <c r="M14" s="478">
        <v>1129</v>
      </c>
      <c r="N14" s="497">
        <v>1218</v>
      </c>
      <c r="O14" s="497">
        <v>855</v>
      </c>
      <c r="P14" s="498" t="s">
        <v>1007</v>
      </c>
      <c r="Q14" s="477">
        <v>22275</v>
      </c>
      <c r="R14" s="477">
        <v>3550068</v>
      </c>
      <c r="S14" s="16"/>
    </row>
    <row r="15" spans="12:19" ht="27" customHeight="1">
      <c r="L15" s="17" t="s">
        <v>989</v>
      </c>
      <c r="M15" s="478">
        <v>1152</v>
      </c>
      <c r="N15" s="477">
        <v>1362</v>
      </c>
      <c r="O15" s="477">
        <v>1711</v>
      </c>
      <c r="P15" s="498" t="s">
        <v>1007</v>
      </c>
      <c r="Q15" s="477">
        <v>21926</v>
      </c>
      <c r="R15" s="477">
        <v>3643699</v>
      </c>
      <c r="S15" s="82"/>
    </row>
    <row r="16" spans="12:19" ht="24.75" customHeight="1" hidden="1">
      <c r="L16" s="23" t="s">
        <v>990</v>
      </c>
      <c r="M16" s="479">
        <v>1127</v>
      </c>
      <c r="N16" s="480">
        <v>286</v>
      </c>
      <c r="O16" s="480">
        <v>263</v>
      </c>
      <c r="P16" s="498" t="s">
        <v>1007</v>
      </c>
      <c r="Q16" s="480">
        <v>22298</v>
      </c>
      <c r="R16" s="480">
        <v>3594563</v>
      </c>
      <c r="S16" s="82"/>
    </row>
    <row r="17" spans="12:19" ht="24.75" customHeight="1" hidden="1">
      <c r="L17" s="23" t="s">
        <v>126</v>
      </c>
      <c r="M17" s="478">
        <v>1123</v>
      </c>
      <c r="N17" s="477">
        <v>381</v>
      </c>
      <c r="O17" s="477">
        <v>611</v>
      </c>
      <c r="P17" s="498" t="s">
        <v>1007</v>
      </c>
      <c r="Q17" s="477">
        <v>22068</v>
      </c>
      <c r="R17" s="477">
        <v>3590663</v>
      </c>
      <c r="S17" s="82"/>
    </row>
    <row r="18" spans="12:19" ht="24.75" customHeight="1" hidden="1">
      <c r="L18" s="23" t="s">
        <v>127</v>
      </c>
      <c r="M18" s="478">
        <v>1142</v>
      </c>
      <c r="N18" s="477">
        <v>357</v>
      </c>
      <c r="O18" s="477">
        <v>211</v>
      </c>
      <c r="P18" s="498" t="s">
        <v>1007</v>
      </c>
      <c r="Q18" s="477">
        <v>22214</v>
      </c>
      <c r="R18" s="477">
        <v>3624427</v>
      </c>
      <c r="S18" s="82"/>
    </row>
    <row r="19" spans="12:19" ht="24.75" customHeight="1" hidden="1">
      <c r="L19" s="23" t="s">
        <v>128</v>
      </c>
      <c r="M19" s="478">
        <v>1152</v>
      </c>
      <c r="N19" s="477">
        <v>338</v>
      </c>
      <c r="O19" s="477">
        <v>626</v>
      </c>
      <c r="P19" s="498" t="s">
        <v>1007</v>
      </c>
      <c r="Q19" s="477">
        <v>21926</v>
      </c>
      <c r="R19" s="477">
        <v>3643699</v>
      </c>
      <c r="S19" s="83"/>
    </row>
    <row r="20" spans="12:19" ht="27" customHeight="1">
      <c r="L20" s="17" t="s">
        <v>994</v>
      </c>
      <c r="M20" s="479">
        <v>962</v>
      </c>
      <c r="N20" s="480">
        <v>1342</v>
      </c>
      <c r="O20" s="480">
        <v>877</v>
      </c>
      <c r="P20" s="481">
        <v>1156</v>
      </c>
      <c r="Q20" s="477">
        <v>21235</v>
      </c>
      <c r="R20" s="477">
        <v>3574062</v>
      </c>
      <c r="S20" s="84"/>
    </row>
    <row r="21" spans="12:18" ht="24.75" customHeight="1" hidden="1">
      <c r="L21" s="23" t="s">
        <v>941</v>
      </c>
      <c r="M21" s="479">
        <v>1152</v>
      </c>
      <c r="N21" s="480">
        <v>321</v>
      </c>
      <c r="O21" s="480">
        <v>196</v>
      </c>
      <c r="P21" s="481">
        <v>309</v>
      </c>
      <c r="Q21" s="477">
        <v>21742</v>
      </c>
      <c r="R21" s="477">
        <v>3661031</v>
      </c>
    </row>
    <row r="22" spans="12:18" ht="24.75" customHeight="1" hidden="1">
      <c r="L22" s="23" t="s">
        <v>942</v>
      </c>
      <c r="M22" s="479">
        <v>1153</v>
      </c>
      <c r="N22" s="480">
        <v>341</v>
      </c>
      <c r="O22" s="480">
        <v>208</v>
      </c>
      <c r="P22" s="481">
        <v>830</v>
      </c>
      <c r="Q22" s="477">
        <v>21045</v>
      </c>
      <c r="R22" s="477">
        <v>3488910</v>
      </c>
    </row>
    <row r="23" spans="12:18" ht="24.75" customHeight="1" hidden="1">
      <c r="L23" s="23" t="s">
        <v>1327</v>
      </c>
      <c r="M23" s="479">
        <v>960</v>
      </c>
      <c r="N23" s="480">
        <v>346</v>
      </c>
      <c r="O23" s="480">
        <v>191</v>
      </c>
      <c r="P23" s="481">
        <v>10</v>
      </c>
      <c r="Q23" s="477">
        <v>21190</v>
      </c>
      <c r="R23" s="477">
        <v>3543127</v>
      </c>
    </row>
    <row r="24" spans="12:18" ht="24.75" customHeight="1" hidden="1">
      <c r="L24" s="23" t="s">
        <v>1325</v>
      </c>
      <c r="M24" s="479">
        <v>962</v>
      </c>
      <c r="N24" s="480">
        <v>334</v>
      </c>
      <c r="O24" s="480">
        <v>282</v>
      </c>
      <c r="P24" s="481">
        <v>7</v>
      </c>
      <c r="Q24" s="477">
        <v>21235</v>
      </c>
      <c r="R24" s="477">
        <v>3574062</v>
      </c>
    </row>
    <row r="25" spans="12:18" ht="27" customHeight="1">
      <c r="L25" s="17" t="s">
        <v>996</v>
      </c>
      <c r="M25" s="479">
        <v>908</v>
      </c>
      <c r="N25" s="480">
        <v>1507</v>
      </c>
      <c r="O25" s="480">
        <v>1080</v>
      </c>
      <c r="P25" s="481">
        <v>66</v>
      </c>
      <c r="Q25" s="477">
        <v>21596</v>
      </c>
      <c r="R25" s="477">
        <v>3748928</v>
      </c>
    </row>
    <row r="26" spans="12:18" ht="24.75" customHeight="1" hidden="1">
      <c r="L26" s="23" t="s">
        <v>1327</v>
      </c>
      <c r="M26" s="479">
        <v>900</v>
      </c>
      <c r="N26" s="480">
        <v>397</v>
      </c>
      <c r="O26" s="480">
        <v>229</v>
      </c>
      <c r="P26" s="481">
        <v>12</v>
      </c>
      <c r="Q26" s="477">
        <v>21534</v>
      </c>
      <c r="R26" s="477">
        <v>3698116</v>
      </c>
    </row>
    <row r="27" spans="12:25" ht="24.75" customHeight="1" hidden="1">
      <c r="L27" s="23" t="s">
        <v>1325</v>
      </c>
      <c r="M27" s="479">
        <v>908</v>
      </c>
      <c r="N27" s="480">
        <v>392</v>
      </c>
      <c r="O27" s="480">
        <v>320</v>
      </c>
      <c r="P27" s="481">
        <v>10</v>
      </c>
      <c r="Q27" s="477">
        <v>21596</v>
      </c>
      <c r="R27" s="477">
        <v>3748928</v>
      </c>
      <c r="W27" s="14" t="s">
        <v>1105</v>
      </c>
      <c r="X27" s="14" t="s">
        <v>919</v>
      </c>
      <c r="Y27" s="14" t="s">
        <v>1128</v>
      </c>
    </row>
    <row r="28" spans="12:18" ht="27" customHeight="1">
      <c r="L28" s="17" t="s">
        <v>997</v>
      </c>
      <c r="M28" s="479">
        <v>886</v>
      </c>
      <c r="N28" s="499">
        <v>1376</v>
      </c>
      <c r="O28" s="499">
        <f>SUM(O29:O32)</f>
        <v>997</v>
      </c>
      <c r="P28" s="499">
        <f>SUM(P29:P32)</f>
        <v>549</v>
      </c>
      <c r="Q28" s="499">
        <v>21426</v>
      </c>
      <c r="R28" s="499">
        <v>3877739</v>
      </c>
    </row>
    <row r="29" spans="12:18" ht="24.75" customHeight="1" hidden="1">
      <c r="L29" s="23" t="s">
        <v>941</v>
      </c>
      <c r="M29" s="479">
        <v>898</v>
      </c>
      <c r="N29" s="480">
        <v>361</v>
      </c>
      <c r="O29" s="480">
        <v>334</v>
      </c>
      <c r="P29" s="481">
        <v>15</v>
      </c>
      <c r="Q29" s="477">
        <v>21608</v>
      </c>
      <c r="R29" s="477">
        <v>3786548</v>
      </c>
    </row>
    <row r="30" spans="12:18" ht="24.75" customHeight="1" hidden="1">
      <c r="L30" s="23" t="s">
        <v>942</v>
      </c>
      <c r="M30" s="479">
        <v>899</v>
      </c>
      <c r="N30" s="480">
        <v>341</v>
      </c>
      <c r="O30" s="480">
        <v>232</v>
      </c>
      <c r="P30" s="481">
        <v>321</v>
      </c>
      <c r="Q30" s="477">
        <v>21396</v>
      </c>
      <c r="R30" s="477">
        <v>3773570</v>
      </c>
    </row>
    <row r="31" spans="12:18" ht="24.75" customHeight="1" hidden="1">
      <c r="L31" s="26" t="s">
        <v>1327</v>
      </c>
      <c r="M31" s="479">
        <v>885</v>
      </c>
      <c r="N31" s="480">
        <v>369</v>
      </c>
      <c r="O31" s="480">
        <v>233</v>
      </c>
      <c r="P31" s="481">
        <v>189</v>
      </c>
      <c r="Q31" s="477">
        <v>21343</v>
      </c>
      <c r="R31" s="477">
        <v>3790808</v>
      </c>
    </row>
    <row r="32" spans="12:18" ht="24.75" customHeight="1" hidden="1">
      <c r="L32" s="26" t="s">
        <v>1325</v>
      </c>
      <c r="M32" s="479">
        <v>886</v>
      </c>
      <c r="N32" s="480">
        <v>302</v>
      </c>
      <c r="O32" s="480">
        <v>198</v>
      </c>
      <c r="P32" s="481">
        <v>24</v>
      </c>
      <c r="Q32" s="477">
        <v>21426</v>
      </c>
      <c r="R32" s="477">
        <v>3877739</v>
      </c>
    </row>
    <row r="33" spans="12:18" ht="27" customHeight="1">
      <c r="L33" s="25" t="s">
        <v>998</v>
      </c>
      <c r="M33" s="479">
        <v>914</v>
      </c>
      <c r="N33" s="480">
        <v>1188</v>
      </c>
      <c r="O33" s="480">
        <v>934</v>
      </c>
      <c r="P33" s="481">
        <v>372</v>
      </c>
      <c r="Q33" s="499">
        <v>21308</v>
      </c>
      <c r="R33" s="480">
        <v>4076796</v>
      </c>
    </row>
    <row r="34" spans="12:18" ht="26.25" customHeight="1" hidden="1">
      <c r="L34" s="26" t="s">
        <v>941</v>
      </c>
      <c r="M34" s="479">
        <v>889</v>
      </c>
      <c r="N34" s="480">
        <v>302</v>
      </c>
      <c r="O34" s="480">
        <v>280</v>
      </c>
      <c r="P34" s="481">
        <v>27</v>
      </c>
      <c r="Q34" s="480">
        <v>21421</v>
      </c>
      <c r="R34" s="480">
        <v>3891310</v>
      </c>
    </row>
    <row r="35" spans="12:18" ht="26.25" customHeight="1" hidden="1">
      <c r="L35" s="26" t="s">
        <v>942</v>
      </c>
      <c r="M35" s="479">
        <v>897</v>
      </c>
      <c r="N35" s="480">
        <v>375</v>
      </c>
      <c r="O35" s="480">
        <v>228</v>
      </c>
      <c r="P35" s="481">
        <v>15</v>
      </c>
      <c r="Q35" s="480">
        <v>21557</v>
      </c>
      <c r="R35" s="480">
        <v>3999922</v>
      </c>
    </row>
    <row r="36" spans="12:18" ht="26.25" customHeight="1" hidden="1">
      <c r="L36" s="26" t="s">
        <v>1327</v>
      </c>
      <c r="M36" s="479">
        <v>909</v>
      </c>
      <c r="N36" s="499">
        <v>243</v>
      </c>
      <c r="O36" s="480">
        <v>212</v>
      </c>
      <c r="P36" s="481">
        <v>317</v>
      </c>
      <c r="Q36" s="480">
        <v>21271</v>
      </c>
      <c r="R36" s="480">
        <v>4037319</v>
      </c>
    </row>
    <row r="37" spans="12:18" ht="26.25" customHeight="1" hidden="1">
      <c r="L37" s="26" t="s">
        <v>1325</v>
      </c>
      <c r="M37" s="499">
        <v>914</v>
      </c>
      <c r="N37" s="499">
        <v>264</v>
      </c>
      <c r="O37" s="499">
        <v>214</v>
      </c>
      <c r="P37" s="481">
        <v>13</v>
      </c>
      <c r="Q37" s="480">
        <v>21308</v>
      </c>
      <c r="R37" s="480">
        <v>4076796</v>
      </c>
    </row>
    <row r="38" spans="12:18" ht="27" customHeight="1">
      <c r="L38" s="25" t="s">
        <v>999</v>
      </c>
      <c r="M38" s="499">
        <v>926</v>
      </c>
      <c r="N38" s="499">
        <v>1053</v>
      </c>
      <c r="O38" s="499">
        <v>1017</v>
      </c>
      <c r="P38" s="499">
        <v>215</v>
      </c>
      <c r="Q38" s="480">
        <v>21129</v>
      </c>
      <c r="R38" s="480">
        <v>4009425</v>
      </c>
    </row>
    <row r="39" spans="12:18" ht="26.25" customHeight="1" hidden="1">
      <c r="L39" s="26" t="s">
        <v>941</v>
      </c>
      <c r="M39" s="481">
        <v>915</v>
      </c>
      <c r="N39" s="481">
        <v>226</v>
      </c>
      <c r="O39" s="481">
        <v>207</v>
      </c>
      <c r="P39" s="481">
        <v>30</v>
      </c>
      <c r="Q39" s="481">
        <v>21297</v>
      </c>
      <c r="R39" s="480">
        <v>4074601</v>
      </c>
    </row>
    <row r="40" spans="12:18" ht="26.25" customHeight="1" hidden="1">
      <c r="L40" s="26" t="s">
        <v>942</v>
      </c>
      <c r="M40" s="481">
        <v>923</v>
      </c>
      <c r="N40" s="481">
        <v>315</v>
      </c>
      <c r="O40" s="481">
        <v>260</v>
      </c>
      <c r="P40" s="481">
        <v>48</v>
      </c>
      <c r="Q40" s="481">
        <v>21304</v>
      </c>
      <c r="R40" s="480">
        <v>4047573</v>
      </c>
    </row>
    <row r="41" spans="12:18" ht="26.25" customHeight="1" hidden="1">
      <c r="L41" s="26" t="s">
        <v>1327</v>
      </c>
      <c r="M41" s="481">
        <v>922</v>
      </c>
      <c r="N41" s="481">
        <v>250</v>
      </c>
      <c r="O41" s="481">
        <v>273</v>
      </c>
      <c r="P41" s="481">
        <v>57</v>
      </c>
      <c r="Q41" s="481">
        <v>21224</v>
      </c>
      <c r="R41" s="481">
        <v>4025770</v>
      </c>
    </row>
    <row r="42" spans="12:18" ht="27" customHeight="1" hidden="1">
      <c r="L42" s="26" t="s">
        <v>108</v>
      </c>
      <c r="M42" s="481">
        <v>926</v>
      </c>
      <c r="N42" s="481">
        <v>262</v>
      </c>
      <c r="O42" s="481">
        <v>277</v>
      </c>
      <c r="P42" s="481">
        <v>80</v>
      </c>
      <c r="Q42" s="481">
        <v>21129</v>
      </c>
      <c r="R42" s="481">
        <v>4009425</v>
      </c>
    </row>
    <row r="43" spans="12:18" ht="27" customHeight="1">
      <c r="L43" s="25" t="s">
        <v>940</v>
      </c>
      <c r="M43" s="481">
        <f>M47</f>
        <v>952</v>
      </c>
      <c r="N43" s="481">
        <f>SUM(N44:N47)</f>
        <v>1235</v>
      </c>
      <c r="O43" s="481">
        <f>SUM(O44:O47)</f>
        <v>883</v>
      </c>
      <c r="P43" s="481">
        <f>SUM(P44:P47)</f>
        <v>108</v>
      </c>
      <c r="Q43" s="481">
        <f>Q47</f>
        <v>21373</v>
      </c>
      <c r="R43" s="481">
        <f>R47</f>
        <v>4063453</v>
      </c>
    </row>
    <row r="44" spans="12:18" ht="27" customHeight="1" hidden="1">
      <c r="L44" s="26" t="s">
        <v>941</v>
      </c>
      <c r="M44" s="481">
        <v>936</v>
      </c>
      <c r="N44" s="481">
        <v>261</v>
      </c>
      <c r="O44" s="481">
        <v>199</v>
      </c>
      <c r="P44" s="481">
        <v>61</v>
      </c>
      <c r="Q44" s="481">
        <v>21130</v>
      </c>
      <c r="R44" s="481">
        <v>4016834</v>
      </c>
    </row>
    <row r="45" spans="12:18" ht="27" customHeight="1" hidden="1">
      <c r="L45" s="26" t="s">
        <v>942</v>
      </c>
      <c r="M45" s="481">
        <v>941</v>
      </c>
      <c r="N45" s="481">
        <v>337</v>
      </c>
      <c r="O45" s="481">
        <v>238</v>
      </c>
      <c r="P45" s="481">
        <v>15</v>
      </c>
      <c r="Q45" s="481">
        <v>21214</v>
      </c>
      <c r="R45" s="481">
        <v>4024383</v>
      </c>
    </row>
    <row r="46" spans="12:18" ht="27" customHeight="1" hidden="1">
      <c r="L46" s="26" t="s">
        <v>1327</v>
      </c>
      <c r="M46" s="481">
        <f>'[3]工商登記'!$C$91</f>
        <v>943</v>
      </c>
      <c r="N46" s="481">
        <f>SUM('[3]工商登記'!D89:D91)</f>
        <v>346</v>
      </c>
      <c r="O46" s="481">
        <f>SUM('[3]工商登記'!E89:E91)</f>
        <v>177</v>
      </c>
      <c r="P46" s="481">
        <v>33</v>
      </c>
      <c r="Q46" s="481">
        <f>'[3]工商登記'!$F$91</f>
        <v>21350</v>
      </c>
      <c r="R46" s="481">
        <f>'[3]工商登記'!$G$91</f>
        <v>4046622</v>
      </c>
    </row>
    <row r="47" spans="12:18" ht="27" customHeight="1">
      <c r="L47" s="26" t="s">
        <v>109</v>
      </c>
      <c r="M47" s="481">
        <f>'[12]工商登記'!$C$94</f>
        <v>952</v>
      </c>
      <c r="N47" s="481">
        <f>SUM('[12]工商登記'!D92:D94)</f>
        <v>291</v>
      </c>
      <c r="O47" s="481">
        <f>SUM('[12]工商登記'!E92:E94)</f>
        <v>269</v>
      </c>
      <c r="P47" s="481">
        <v>-1</v>
      </c>
      <c r="Q47" s="481">
        <f>'[12]工商登記'!$F$94</f>
        <v>21373</v>
      </c>
      <c r="R47" s="481">
        <f>'[12]工商登記'!$G$94</f>
        <v>4063453</v>
      </c>
    </row>
    <row r="48" spans="12:22" ht="27" customHeight="1">
      <c r="L48" s="25" t="s">
        <v>224</v>
      </c>
      <c r="M48" s="481">
        <f>M52</f>
        <v>931</v>
      </c>
      <c r="N48" s="481">
        <f>SUM(N49:N52)</f>
        <v>1216</v>
      </c>
      <c r="O48" s="481">
        <f>SUM(O49:O52)</f>
        <v>829</v>
      </c>
      <c r="P48" s="481">
        <f>SUM(P49:P52)</f>
        <v>-27</v>
      </c>
      <c r="Q48" s="481">
        <f>Q52</f>
        <v>21787</v>
      </c>
      <c r="R48" s="481">
        <f>R52</f>
        <v>4204992</v>
      </c>
      <c r="S48" s="481"/>
      <c r="T48" s="39"/>
      <c r="V48" s="39"/>
    </row>
    <row r="49" spans="12:18" ht="27" customHeight="1">
      <c r="L49" s="26" t="s">
        <v>941</v>
      </c>
      <c r="M49" s="481">
        <f>'[15]工商登記'!$C$98</f>
        <v>908</v>
      </c>
      <c r="N49" s="481">
        <f>SUM('[15]工商登記'!D96:D98)</f>
        <v>287</v>
      </c>
      <c r="O49" s="481">
        <f>SUM('[15]工商登記'!E96:E98)</f>
        <v>232</v>
      </c>
      <c r="P49" s="481">
        <v>-3</v>
      </c>
      <c r="Q49" s="481">
        <f>'[15]工商登記'!$F$98</f>
        <v>21431</v>
      </c>
      <c r="R49" s="481">
        <f>'[15]工商登記'!$G$98</f>
        <v>4093109</v>
      </c>
    </row>
    <row r="50" spans="12:18" ht="27" customHeight="1">
      <c r="L50" s="26" t="s">
        <v>942</v>
      </c>
      <c r="M50" s="481">
        <f>'[18]工商登記'!$C$101</f>
        <v>916</v>
      </c>
      <c r="N50" s="481">
        <f>SUM('[18]工商登記'!D99:D101)</f>
        <v>308</v>
      </c>
      <c r="O50" s="481">
        <f>SUM('[18]工商登記'!E99:E101)</f>
        <v>207</v>
      </c>
      <c r="P50" s="481">
        <f>Q49+N50-O50-Q50</f>
        <v>-26</v>
      </c>
      <c r="Q50" s="481">
        <f>'[18]工商登記'!$F$101</f>
        <v>21558</v>
      </c>
      <c r="R50" s="481">
        <f>'[18]工商登記'!$G$101</f>
        <v>4115503</v>
      </c>
    </row>
    <row r="51" spans="12:20" ht="27" customHeight="1">
      <c r="L51" s="26" t="s">
        <v>1327</v>
      </c>
      <c r="M51" s="481">
        <f>'[20]工商登記'!$C$104</f>
        <v>927</v>
      </c>
      <c r="N51" s="481">
        <f>SUM('[20]工商登記'!D102:D104)</f>
        <v>311</v>
      </c>
      <c r="O51" s="481">
        <f>SUM('[20]工商登記'!E102:E104)</f>
        <v>225</v>
      </c>
      <c r="P51" s="481">
        <f>Q50+N51-O51-Q51</f>
        <v>5</v>
      </c>
      <c r="Q51" s="481">
        <f>'[20]工商登記'!$F$104</f>
        <v>21639</v>
      </c>
      <c r="R51" s="481">
        <f>'[20]工商登記'!$G$104</f>
        <v>4170531</v>
      </c>
      <c r="T51" s="39"/>
    </row>
    <row r="52" spans="12:18" ht="27" customHeight="1" thickBot="1">
      <c r="L52" s="26" t="s">
        <v>109</v>
      </c>
      <c r="M52" s="481">
        <f>'[23]工商登記'!$C$107</f>
        <v>931</v>
      </c>
      <c r="N52" s="481">
        <f>SUM('[23]工商登記'!D105:D107)</f>
        <v>310</v>
      </c>
      <c r="O52" s="481">
        <f>SUM('[23]工商登記'!E105:E107)</f>
        <v>165</v>
      </c>
      <c r="P52" s="481">
        <f>Q51+N52-O52-Q52</f>
        <v>-3</v>
      </c>
      <c r="Q52" s="481">
        <f>'[23]工商登記'!$F$107</f>
        <v>21787</v>
      </c>
      <c r="R52" s="481">
        <f>'[23]工商登記'!$G$107</f>
        <v>4204992</v>
      </c>
    </row>
    <row r="53" spans="12:18" ht="27" customHeight="1">
      <c r="L53" s="1284" t="s">
        <v>129</v>
      </c>
      <c r="M53" s="1293">
        <f>(M52-M51)/M51*100</f>
        <v>0.4314994606256742</v>
      </c>
      <c r="N53" s="86" t="s">
        <v>130</v>
      </c>
      <c r="O53" s="86" t="s">
        <v>130</v>
      </c>
      <c r="P53" s="86" t="s">
        <v>130</v>
      </c>
      <c r="Q53" s="1288">
        <f>(Q52-Q51)/Q51*100</f>
        <v>0.6839502749664956</v>
      </c>
      <c r="R53" s="1288">
        <f>(R52-R51)/R51*100</f>
        <v>0.8262976584996011</v>
      </c>
    </row>
    <row r="54" spans="12:25" ht="27" customHeight="1" thickBot="1">
      <c r="L54" s="875"/>
      <c r="M54" s="1294"/>
      <c r="N54" s="482">
        <f>N52-N51</f>
        <v>-1</v>
      </c>
      <c r="O54" s="482">
        <f>O52-O51</f>
        <v>-60</v>
      </c>
      <c r="P54" s="482">
        <f>P52-P51</f>
        <v>-8</v>
      </c>
      <c r="Q54" s="1289"/>
      <c r="R54" s="1289"/>
      <c r="U54" s="39"/>
      <c r="W54" s="97"/>
      <c r="X54" s="567"/>
      <c r="Y54" s="85"/>
    </row>
    <row r="55" spans="12:18" ht="27" customHeight="1">
      <c r="L55" s="1284" t="s">
        <v>131</v>
      </c>
      <c r="M55" s="1282">
        <f>(M52-M47)/M47*100</f>
        <v>-2.2058823529411766</v>
      </c>
      <c r="N55" s="86" t="s">
        <v>130</v>
      </c>
      <c r="O55" s="86" t="s">
        <v>1109</v>
      </c>
      <c r="P55" s="86" t="s">
        <v>1109</v>
      </c>
      <c r="Q55" s="1155">
        <f>(Q52-Q47)/Q47*100</f>
        <v>1.9370233472137743</v>
      </c>
      <c r="R55" s="1155">
        <f>(R52-R47)/R47*100</f>
        <v>3.4832198132967207</v>
      </c>
    </row>
    <row r="56" spans="12:24" ht="27" customHeight="1" thickBot="1">
      <c r="L56" s="875"/>
      <c r="M56" s="1283"/>
      <c r="N56" s="300">
        <f>N52-N47</f>
        <v>19</v>
      </c>
      <c r="O56" s="300">
        <f>O52-O47</f>
        <v>-104</v>
      </c>
      <c r="P56" s="300">
        <f>P52-P47</f>
        <v>-2</v>
      </c>
      <c r="Q56" s="1156"/>
      <c r="R56" s="1156"/>
      <c r="T56" s="39"/>
      <c r="U56" s="4"/>
      <c r="V56" s="4"/>
      <c r="W56" s="4"/>
      <c r="X56" s="4"/>
    </row>
    <row r="57" spans="12:24" ht="23.25" customHeight="1">
      <c r="L57" s="2" t="s">
        <v>132</v>
      </c>
      <c r="N57" s="117"/>
      <c r="O57" s="117"/>
      <c r="P57" s="117"/>
      <c r="Q57" s="117"/>
      <c r="R57" s="117"/>
      <c r="T57" s="51"/>
      <c r="U57" s="87"/>
      <c r="V57" s="4"/>
      <c r="W57" s="4"/>
      <c r="X57" s="4"/>
    </row>
    <row r="58" spans="12:24" ht="18" customHeight="1">
      <c r="L58" s="13" t="s">
        <v>133</v>
      </c>
      <c r="M58" s="483"/>
      <c r="N58" s="483"/>
      <c r="O58" s="483"/>
      <c r="P58" s="483"/>
      <c r="Q58" s="483"/>
      <c r="R58" s="483"/>
      <c r="T58" s="51"/>
      <c r="U58" s="87"/>
      <c r="V58" s="4"/>
      <c r="W58" s="4"/>
      <c r="X58" s="4"/>
    </row>
    <row r="59" spans="12:24" ht="18" customHeight="1">
      <c r="L59" s="89" t="s">
        <v>142</v>
      </c>
      <c r="M59" s="89"/>
      <c r="N59" s="89"/>
      <c r="O59" s="89"/>
      <c r="P59" s="89"/>
      <c r="Q59" s="89"/>
      <c r="R59" s="89"/>
      <c r="S59" s="88"/>
      <c r="U59" s="4"/>
      <c r="V59" s="4"/>
      <c r="W59" s="4"/>
      <c r="X59" s="4"/>
    </row>
    <row r="60" spans="12:24" ht="18" customHeight="1">
      <c r="L60" s="89" t="s">
        <v>134</v>
      </c>
      <c r="M60" s="89"/>
      <c r="N60" s="89"/>
      <c r="O60" s="89"/>
      <c r="P60" s="89"/>
      <c r="Q60" s="89"/>
      <c r="R60" s="89"/>
      <c r="S60" s="88"/>
      <c r="U60" s="4"/>
      <c r="V60" s="4"/>
      <c r="W60" s="4"/>
      <c r="X60" s="4"/>
    </row>
    <row r="61" spans="12:25" ht="18" customHeight="1">
      <c r="L61" s="147" t="s">
        <v>143</v>
      </c>
      <c r="M61" s="89"/>
      <c r="N61" s="89"/>
      <c r="O61" s="89"/>
      <c r="P61" s="89"/>
      <c r="Q61" s="89"/>
      <c r="R61" s="89"/>
      <c r="S61" s="13"/>
      <c r="U61" s="4"/>
      <c r="V61" s="4"/>
      <c r="W61" s="51"/>
      <c r="X61" s="87"/>
      <c r="Y61" s="87"/>
    </row>
    <row r="62" spans="12:25" ht="4.5" customHeight="1">
      <c r="L62" s="147"/>
      <c r="M62" s="89"/>
      <c r="N62" s="89"/>
      <c r="O62" s="89"/>
      <c r="P62" s="89"/>
      <c r="Q62" s="89"/>
      <c r="R62" s="89"/>
      <c r="S62" s="13"/>
      <c r="W62" s="51"/>
      <c r="X62" s="87"/>
      <c r="Y62" s="87"/>
    </row>
    <row r="63" spans="2:19" ht="18" customHeight="1">
      <c r="B63" s="937" t="s">
        <v>1289</v>
      </c>
      <c r="C63" s="1281"/>
      <c r="D63" s="1281"/>
      <c r="E63" s="1281"/>
      <c r="F63" s="1281"/>
      <c r="G63" s="1281"/>
      <c r="H63" s="1281"/>
      <c r="I63" s="1281"/>
      <c r="J63" s="1281"/>
      <c r="K63" s="467"/>
      <c r="L63" s="899" t="s">
        <v>1290</v>
      </c>
      <c r="M63" s="899"/>
      <c r="N63" s="899"/>
      <c r="O63" s="899"/>
      <c r="P63" s="899"/>
      <c r="Q63" s="899"/>
      <c r="R63" s="899"/>
      <c r="S63" s="13"/>
    </row>
    <row r="64" spans="12:19" ht="18" customHeight="1">
      <c r="L64" s="37"/>
      <c r="S64" s="13"/>
    </row>
    <row r="65" ht="18" customHeight="1">
      <c r="B65" s="38"/>
    </row>
    <row r="66" spans="20:25" ht="18" customHeight="1">
      <c r="T66" s="20"/>
      <c r="U66" s="87"/>
      <c r="W66" s="20"/>
      <c r="X66" t="s">
        <v>919</v>
      </c>
      <c r="Y66" t="s">
        <v>1128</v>
      </c>
    </row>
    <row r="67" spans="20:25" ht="18" customHeight="1">
      <c r="T67" s="20" t="s">
        <v>214</v>
      </c>
      <c r="U67" s="87">
        <v>1146</v>
      </c>
      <c r="W67" s="20" t="s">
        <v>214</v>
      </c>
      <c r="X67" s="87">
        <v>21912</v>
      </c>
      <c r="Y67" s="87">
        <v>3417588</v>
      </c>
    </row>
    <row r="68" spans="20:25" ht="18" customHeight="1">
      <c r="T68" s="20" t="s">
        <v>232</v>
      </c>
      <c r="U68" s="87">
        <v>1129</v>
      </c>
      <c r="W68" s="20" t="s">
        <v>232</v>
      </c>
      <c r="X68" s="87">
        <v>22275</v>
      </c>
      <c r="Y68" s="87">
        <v>3550068</v>
      </c>
    </row>
    <row r="69" spans="20:25" ht="18" customHeight="1">
      <c r="T69" s="20" t="s">
        <v>233</v>
      </c>
      <c r="U69" s="87">
        <v>1152</v>
      </c>
      <c r="W69" s="20" t="s">
        <v>233</v>
      </c>
      <c r="X69" s="87">
        <v>21926</v>
      </c>
      <c r="Y69" s="87">
        <v>3643699</v>
      </c>
    </row>
    <row r="70" spans="20:25" ht="18" customHeight="1">
      <c r="T70" s="20" t="s">
        <v>234</v>
      </c>
      <c r="U70" s="87">
        <v>962</v>
      </c>
      <c r="W70" s="20" t="s">
        <v>234</v>
      </c>
      <c r="X70" s="87">
        <v>21235</v>
      </c>
      <c r="Y70" s="87">
        <v>3574062</v>
      </c>
    </row>
    <row r="71" spans="20:25" ht="18" customHeight="1">
      <c r="T71" s="35" t="s">
        <v>235</v>
      </c>
      <c r="U71" s="87">
        <v>908</v>
      </c>
      <c r="W71" s="35" t="s">
        <v>235</v>
      </c>
      <c r="X71" s="90">
        <v>21596</v>
      </c>
      <c r="Y71" s="90">
        <v>3748928</v>
      </c>
    </row>
    <row r="72" spans="20:25" ht="18" customHeight="1">
      <c r="T72" s="35" t="s">
        <v>236</v>
      </c>
      <c r="U72" s="44">
        <v>886</v>
      </c>
      <c r="W72" s="35" t="s">
        <v>236</v>
      </c>
      <c r="X72" s="85">
        <v>21426</v>
      </c>
      <c r="Y72" s="85">
        <v>3877739</v>
      </c>
    </row>
    <row r="73" spans="20:25" ht="18" customHeight="1">
      <c r="T73" s="35" t="s">
        <v>1321</v>
      </c>
      <c r="U73" s="44">
        <v>914</v>
      </c>
      <c r="W73" s="35" t="s">
        <v>1321</v>
      </c>
      <c r="X73" s="85">
        <v>21308</v>
      </c>
      <c r="Y73" s="85">
        <v>4076796</v>
      </c>
    </row>
    <row r="74" spans="20:25" ht="18" customHeight="1">
      <c r="T74" s="35" t="s">
        <v>1323</v>
      </c>
      <c r="U74" s="87">
        <v>926</v>
      </c>
      <c r="W74" s="35" t="s">
        <v>1323</v>
      </c>
      <c r="X74" s="85">
        <v>21129</v>
      </c>
      <c r="Y74" s="85">
        <v>4009425</v>
      </c>
    </row>
    <row r="75" spans="20:25" ht="19.5" customHeight="1">
      <c r="T75" s="51" t="s">
        <v>1200</v>
      </c>
      <c r="U75" s="87">
        <v>952</v>
      </c>
      <c r="W75" s="35" t="s">
        <v>1200</v>
      </c>
      <c r="X75" s="85">
        <v>21373</v>
      </c>
      <c r="Y75" s="85">
        <v>4063453</v>
      </c>
    </row>
    <row r="76" spans="20:25" ht="19.5" customHeight="1">
      <c r="T76" s="51" t="s">
        <v>237</v>
      </c>
      <c r="U76" s="87">
        <v>931</v>
      </c>
      <c r="W76" s="35" t="s">
        <v>237</v>
      </c>
      <c r="X76" s="85">
        <v>21787</v>
      </c>
      <c r="Y76" s="85">
        <v>4204992</v>
      </c>
    </row>
    <row r="77" spans="20:21" ht="19.5" customHeight="1">
      <c r="T77" s="51"/>
      <c r="U77" s="87"/>
    </row>
    <row r="78" spans="20:21" ht="19.5" customHeight="1">
      <c r="T78" s="51"/>
      <c r="U78" s="87"/>
    </row>
    <row r="79" spans="20:21" ht="19.5" customHeight="1">
      <c r="T79" s="51"/>
      <c r="U79" s="87"/>
    </row>
    <row r="237" ht="24.75" customHeight="1"/>
  </sheetData>
  <mergeCells count="21">
    <mergeCell ref="M1:Q1"/>
    <mergeCell ref="B1:J1"/>
    <mergeCell ref="Q53:Q54"/>
    <mergeCell ref="L3:L5"/>
    <mergeCell ref="N3:R3"/>
    <mergeCell ref="M53:M54"/>
    <mergeCell ref="M3:M5"/>
    <mergeCell ref="R53:R54"/>
    <mergeCell ref="B2:J12"/>
    <mergeCell ref="L53:L54"/>
    <mergeCell ref="L63:R63"/>
    <mergeCell ref="B63:J63"/>
    <mergeCell ref="R55:R56"/>
    <mergeCell ref="M55:M56"/>
    <mergeCell ref="Q55:Q56"/>
    <mergeCell ref="L55:L56"/>
    <mergeCell ref="Q4:Q5"/>
    <mergeCell ref="N4:N5"/>
    <mergeCell ref="O4:P4"/>
    <mergeCell ref="Q2:R2"/>
    <mergeCell ref="R4:R5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Z117"/>
  <sheetViews>
    <sheetView zoomScaleSheetLayoutView="100" workbookViewId="0" topLeftCell="B1">
      <selection activeCell="B1" sqref="B1:J1"/>
    </sheetView>
  </sheetViews>
  <sheetFormatPr defaultColWidth="9.00390625" defaultRowHeight="24.75" customHeight="1"/>
  <cols>
    <col min="1" max="1" width="2.625" style="3" customWidth="1"/>
    <col min="2" max="9" width="9.00390625" style="3" customWidth="1"/>
    <col min="10" max="10" width="16.25390625" style="3" customWidth="1"/>
    <col min="11" max="11" width="2.625" style="3" customWidth="1"/>
    <col min="12" max="12" width="14.75390625" style="3" customWidth="1"/>
    <col min="13" max="20" width="9.875" style="3" customWidth="1"/>
    <col min="21" max="21" width="9.25390625" style="3" bestFit="1" customWidth="1"/>
    <col min="22" max="22" width="16.00390625" style="3" customWidth="1"/>
    <col min="23" max="23" width="9.25390625" style="3" bestFit="1" customWidth="1"/>
    <col min="24" max="24" width="2.75390625" style="3" customWidth="1"/>
    <col min="25" max="25" width="15.25390625" style="3" customWidth="1"/>
    <col min="26" max="26" width="9.25390625" style="3" bestFit="1" customWidth="1"/>
    <col min="27" max="16384" width="9.00390625" style="3" customWidth="1"/>
  </cols>
  <sheetData>
    <row r="1" spans="2:20" ht="49.5" customHeight="1">
      <c r="B1" s="869" t="s">
        <v>1380</v>
      </c>
      <c r="C1" s="820"/>
      <c r="D1" s="820"/>
      <c r="E1" s="820"/>
      <c r="F1" s="820"/>
      <c r="G1" s="820"/>
      <c r="H1" s="820"/>
      <c r="I1" s="820"/>
      <c r="J1" s="820"/>
      <c r="K1" s="177"/>
      <c r="L1" s="949" t="s">
        <v>1386</v>
      </c>
      <c r="M1" s="949"/>
      <c r="N1" s="949"/>
      <c r="O1" s="949"/>
      <c r="P1" s="949"/>
      <c r="Q1" s="949"/>
      <c r="R1" s="949"/>
      <c r="S1" s="949"/>
      <c r="T1" s="949"/>
    </row>
    <row r="2" spans="2:20" ht="31.5" customHeight="1" thickBot="1">
      <c r="B2" s="1299" t="s">
        <v>252</v>
      </c>
      <c r="C2" s="1299"/>
      <c r="D2" s="1299"/>
      <c r="E2" s="1299"/>
      <c r="F2" s="1299"/>
      <c r="G2" s="1299"/>
      <c r="H2" s="1299"/>
      <c r="I2" s="1299"/>
      <c r="J2" s="1299"/>
      <c r="K2" s="177"/>
      <c r="L2" s="407"/>
      <c r="M2" s="409"/>
      <c r="N2" s="409"/>
      <c r="O2" s="409"/>
      <c r="P2" s="409"/>
      <c r="Q2" s="409"/>
      <c r="R2" s="409"/>
      <c r="S2" s="1272" t="s">
        <v>1425</v>
      </c>
      <c r="T2" s="1309"/>
    </row>
    <row r="3" spans="2:20" ht="36" customHeight="1">
      <c r="B3" s="1299"/>
      <c r="C3" s="1299"/>
      <c r="D3" s="1299"/>
      <c r="E3" s="1299"/>
      <c r="F3" s="1299"/>
      <c r="G3" s="1299"/>
      <c r="H3" s="1299"/>
      <c r="I3" s="1299"/>
      <c r="J3" s="1299"/>
      <c r="K3" s="143"/>
      <c r="L3" s="951" t="s">
        <v>1387</v>
      </c>
      <c r="M3" s="1306" t="s">
        <v>2</v>
      </c>
      <c r="N3" s="1307"/>
      <c r="O3" s="1307"/>
      <c r="P3" s="1307"/>
      <c r="Q3" s="1308"/>
      <c r="R3" s="1212" t="s">
        <v>1388</v>
      </c>
      <c r="S3" s="1213"/>
      <c r="T3" s="1213"/>
    </row>
    <row r="4" spans="2:22" s="72" customFormat="1" ht="32.25" customHeight="1">
      <c r="B4" s="1299"/>
      <c r="C4" s="1299"/>
      <c r="D4" s="1299"/>
      <c r="E4" s="1299"/>
      <c r="F4" s="1299"/>
      <c r="G4" s="1299"/>
      <c r="H4" s="1299"/>
      <c r="I4" s="1299"/>
      <c r="J4" s="1299"/>
      <c r="K4" s="143"/>
      <c r="L4" s="953"/>
      <c r="M4" s="1302" t="s">
        <v>1389</v>
      </c>
      <c r="N4" s="1303" t="s">
        <v>1</v>
      </c>
      <c r="O4" s="1304"/>
      <c r="P4" s="1303" t="s">
        <v>3</v>
      </c>
      <c r="Q4" s="1305"/>
      <c r="R4" s="1310" t="s">
        <v>1389</v>
      </c>
      <c r="S4" s="1241" t="s">
        <v>1390</v>
      </c>
      <c r="T4" s="1300" t="s">
        <v>1391</v>
      </c>
      <c r="U4" s="82"/>
      <c r="V4" s="82"/>
    </row>
    <row r="5" spans="2:22" s="72" customFormat="1" ht="39.75" customHeight="1" thickBo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954"/>
      <c r="M5" s="1297"/>
      <c r="N5" s="32" t="s">
        <v>0</v>
      </c>
      <c r="O5" s="32" t="s">
        <v>1392</v>
      </c>
      <c r="P5" s="32" t="s">
        <v>4</v>
      </c>
      <c r="Q5" s="91" t="s">
        <v>1392</v>
      </c>
      <c r="R5" s="1199"/>
      <c r="S5" s="1234"/>
      <c r="T5" s="1301"/>
      <c r="U5" s="82"/>
      <c r="V5" s="82"/>
    </row>
    <row r="6" spans="2:26" ht="24.75" customHeight="1" hidden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7" t="s">
        <v>1393</v>
      </c>
      <c r="M6" s="388">
        <f>SUM(N6:Q6)</f>
        <v>1125303</v>
      </c>
      <c r="N6" s="217">
        <v>525320</v>
      </c>
      <c r="O6" s="217">
        <v>202330</v>
      </c>
      <c r="P6" s="217">
        <v>268663</v>
      </c>
      <c r="Q6" s="217">
        <v>128990</v>
      </c>
      <c r="R6" s="217">
        <v>1125303</v>
      </c>
      <c r="S6" s="217">
        <v>1020264</v>
      </c>
      <c r="T6" s="217">
        <f>R6-S6</f>
        <v>105039</v>
      </c>
      <c r="U6" s="82"/>
      <c r="V6" s="33" t="s">
        <v>1394</v>
      </c>
      <c r="W6" s="3">
        <v>1125303</v>
      </c>
      <c r="Y6" s="33" t="s">
        <v>1395</v>
      </c>
      <c r="Z6" s="90">
        <v>68361</v>
      </c>
    </row>
    <row r="7" spans="12:21" ht="24.75" customHeight="1" hidden="1">
      <c r="L7" s="19" t="s">
        <v>1014</v>
      </c>
      <c r="M7" s="388">
        <f>SUM(N7:Q7)</f>
        <v>761565</v>
      </c>
      <c r="N7" s="217">
        <v>401951</v>
      </c>
      <c r="O7" s="217">
        <v>192795</v>
      </c>
      <c r="P7" s="217">
        <v>125121</v>
      </c>
      <c r="Q7" s="217">
        <v>41698</v>
      </c>
      <c r="R7" s="217">
        <v>761565</v>
      </c>
      <c r="S7" s="217">
        <v>708107</v>
      </c>
      <c r="T7" s="217">
        <f>R7-S7</f>
        <v>53458</v>
      </c>
      <c r="U7" s="82"/>
    </row>
    <row r="8" spans="12:21" ht="3.75" customHeight="1">
      <c r="L8" s="414"/>
      <c r="M8" s="462"/>
      <c r="N8" s="463"/>
      <c r="O8" s="463"/>
      <c r="P8" s="463"/>
      <c r="Q8" s="463"/>
      <c r="R8" s="463"/>
      <c r="S8" s="463"/>
      <c r="T8" s="463"/>
      <c r="U8" s="82"/>
    </row>
    <row r="9" spans="12:21" ht="24.75" customHeight="1" hidden="1">
      <c r="L9" s="19" t="s">
        <v>1396</v>
      </c>
      <c r="M9" s="388">
        <f>SUM(N9:Q9)</f>
        <v>768957</v>
      </c>
      <c r="N9" s="217">
        <v>316855</v>
      </c>
      <c r="O9" s="217">
        <v>230775</v>
      </c>
      <c r="P9" s="217">
        <v>111174</v>
      </c>
      <c r="Q9" s="217">
        <v>110153</v>
      </c>
      <c r="R9" s="217">
        <v>768957</v>
      </c>
      <c r="S9" s="217">
        <v>693090</v>
      </c>
      <c r="T9" s="217">
        <f aca="true" t="shared" si="0" ref="T9:T14">R9-S9</f>
        <v>75867</v>
      </c>
      <c r="U9" s="82"/>
    </row>
    <row r="10" spans="12:21" ht="24.75" customHeight="1" hidden="1">
      <c r="L10" s="17" t="s">
        <v>1397</v>
      </c>
      <c r="M10" s="388">
        <v>722410</v>
      </c>
      <c r="N10" s="217">
        <v>250136</v>
      </c>
      <c r="O10" s="217">
        <v>302014</v>
      </c>
      <c r="P10" s="217">
        <v>127190</v>
      </c>
      <c r="Q10" s="217">
        <v>43070</v>
      </c>
      <c r="R10" s="217">
        <v>722410</v>
      </c>
      <c r="S10" s="217">
        <v>614522</v>
      </c>
      <c r="T10" s="217">
        <f t="shared" si="0"/>
        <v>107888</v>
      </c>
      <c r="U10" s="82"/>
    </row>
    <row r="11" spans="12:23" ht="30" customHeight="1" hidden="1">
      <c r="L11" s="17" t="s">
        <v>1398</v>
      </c>
      <c r="M11" s="388">
        <v>641033</v>
      </c>
      <c r="N11" s="217">
        <v>192984</v>
      </c>
      <c r="O11" s="217">
        <v>328117</v>
      </c>
      <c r="P11" s="217">
        <v>81787</v>
      </c>
      <c r="Q11" s="217">
        <v>38145</v>
      </c>
      <c r="R11" s="217">
        <v>641033</v>
      </c>
      <c r="S11" s="217">
        <v>497505</v>
      </c>
      <c r="T11" s="217">
        <f t="shared" si="0"/>
        <v>143528</v>
      </c>
      <c r="U11" s="82"/>
      <c r="V11" s="20"/>
      <c r="W11" s="464"/>
    </row>
    <row r="12" spans="12:21" ht="30" customHeight="1">
      <c r="L12" s="17" t="s">
        <v>1399</v>
      </c>
      <c r="M12" s="388">
        <v>537239</v>
      </c>
      <c r="N12" s="217">
        <v>135452</v>
      </c>
      <c r="O12" s="217">
        <v>381296</v>
      </c>
      <c r="P12" s="217">
        <v>18465</v>
      </c>
      <c r="Q12" s="217">
        <v>2026</v>
      </c>
      <c r="R12" s="217">
        <v>537239</v>
      </c>
      <c r="S12" s="217">
        <v>404015</v>
      </c>
      <c r="T12" s="217">
        <f t="shared" si="0"/>
        <v>133224</v>
      </c>
      <c r="U12" s="82"/>
    </row>
    <row r="13" spans="12:21" ht="30" customHeight="1">
      <c r="L13" s="17" t="s">
        <v>1400</v>
      </c>
      <c r="M13" s="388">
        <v>460626</v>
      </c>
      <c r="N13" s="217">
        <v>85565</v>
      </c>
      <c r="O13" s="217">
        <v>343213</v>
      </c>
      <c r="P13" s="217">
        <v>24698</v>
      </c>
      <c r="Q13" s="217">
        <v>7150</v>
      </c>
      <c r="R13" s="217">
        <v>460626</v>
      </c>
      <c r="S13" s="217">
        <v>317085</v>
      </c>
      <c r="T13" s="217">
        <f t="shared" si="0"/>
        <v>143541</v>
      </c>
      <c r="U13" s="82"/>
    </row>
    <row r="14" spans="12:21" ht="30" customHeight="1">
      <c r="L14" s="17" t="s">
        <v>1401</v>
      </c>
      <c r="M14" s="388">
        <v>309754</v>
      </c>
      <c r="N14" s="217">
        <v>83214</v>
      </c>
      <c r="O14" s="217">
        <v>192157</v>
      </c>
      <c r="P14" s="217">
        <v>24541</v>
      </c>
      <c r="Q14" s="217">
        <v>9842</v>
      </c>
      <c r="R14" s="217">
        <v>309754</v>
      </c>
      <c r="S14" s="217">
        <v>226724</v>
      </c>
      <c r="T14" s="217">
        <f t="shared" si="0"/>
        <v>83030</v>
      </c>
      <c r="U14" s="82"/>
    </row>
    <row r="15" spans="12:26" ht="30" customHeight="1">
      <c r="L15" s="17" t="s">
        <v>1402</v>
      </c>
      <c r="M15" s="388">
        <f aca="true" t="shared" si="1" ref="M15:S15">M16+M17+M18+M19</f>
        <v>325158</v>
      </c>
      <c r="N15" s="217">
        <f t="shared" si="1"/>
        <v>69460</v>
      </c>
      <c r="O15" s="217">
        <f t="shared" si="1"/>
        <v>155473</v>
      </c>
      <c r="P15" s="217">
        <f t="shared" si="1"/>
        <v>26351</v>
      </c>
      <c r="Q15" s="217">
        <f t="shared" si="1"/>
        <v>73874</v>
      </c>
      <c r="R15" s="217">
        <f t="shared" si="1"/>
        <v>325158</v>
      </c>
      <c r="S15" s="217">
        <f t="shared" si="1"/>
        <v>236310</v>
      </c>
      <c r="T15" s="217">
        <v>88848</v>
      </c>
      <c r="U15" s="99"/>
      <c r="V15" s="99"/>
      <c r="W15" s="99"/>
      <c r="X15" s="99"/>
      <c r="Y15" s="99"/>
      <c r="Z15" s="99"/>
    </row>
    <row r="16" spans="12:26" ht="24.75" customHeight="1" hidden="1">
      <c r="L16" s="23" t="s">
        <v>1403</v>
      </c>
      <c r="M16" s="388">
        <v>68361</v>
      </c>
      <c r="N16" s="217">
        <v>15514</v>
      </c>
      <c r="O16" s="217">
        <v>28288</v>
      </c>
      <c r="P16" s="217">
        <v>5979</v>
      </c>
      <c r="Q16" s="217">
        <v>18580</v>
      </c>
      <c r="R16" s="217">
        <v>68361</v>
      </c>
      <c r="S16" s="217">
        <v>55615</v>
      </c>
      <c r="T16" s="217">
        <f>R16-S16</f>
        <v>12746</v>
      </c>
      <c r="U16" s="82"/>
      <c r="V16" s="99"/>
      <c r="W16" s="99"/>
      <c r="X16" s="99"/>
      <c r="Y16" s="99"/>
      <c r="Z16" s="99"/>
    </row>
    <row r="17" spans="12:26" ht="24.75" customHeight="1" hidden="1">
      <c r="L17" s="23" t="s">
        <v>991</v>
      </c>
      <c r="M17" s="388">
        <v>75564</v>
      </c>
      <c r="N17" s="217">
        <v>14043</v>
      </c>
      <c r="O17" s="217">
        <v>40489</v>
      </c>
      <c r="P17" s="217">
        <v>6030</v>
      </c>
      <c r="Q17" s="217">
        <v>15002</v>
      </c>
      <c r="R17" s="217">
        <v>75564</v>
      </c>
      <c r="S17" s="217">
        <v>66661</v>
      </c>
      <c r="T17" s="217">
        <v>8903</v>
      </c>
      <c r="U17" s="82"/>
      <c r="V17" s="99"/>
      <c r="W17" s="99"/>
      <c r="X17" s="99"/>
      <c r="Y17" s="99"/>
      <c r="Z17" s="99"/>
    </row>
    <row r="18" spans="12:26" ht="24.75" customHeight="1" hidden="1">
      <c r="L18" s="23" t="s">
        <v>992</v>
      </c>
      <c r="M18" s="388">
        <v>71196</v>
      </c>
      <c r="N18" s="217">
        <v>18473</v>
      </c>
      <c r="O18" s="217">
        <v>38104</v>
      </c>
      <c r="P18" s="217">
        <v>3202</v>
      </c>
      <c r="Q18" s="217">
        <v>11417</v>
      </c>
      <c r="R18" s="217">
        <v>71196</v>
      </c>
      <c r="S18" s="217">
        <v>51921</v>
      </c>
      <c r="T18" s="217">
        <v>19275</v>
      </c>
      <c r="U18" s="82"/>
      <c r="V18" s="99"/>
      <c r="W18" s="99"/>
      <c r="X18" s="99"/>
      <c r="Y18" s="99"/>
      <c r="Z18" s="99"/>
    </row>
    <row r="19" spans="12:26" ht="24.75" customHeight="1" hidden="1">
      <c r="L19" s="23" t="s">
        <v>993</v>
      </c>
      <c r="M19" s="388">
        <v>110037</v>
      </c>
      <c r="N19" s="217">
        <v>21430</v>
      </c>
      <c r="O19" s="217">
        <v>48592</v>
      </c>
      <c r="P19" s="217">
        <v>11140</v>
      </c>
      <c r="Q19" s="217">
        <v>28875</v>
      </c>
      <c r="R19" s="217">
        <v>110037</v>
      </c>
      <c r="S19" s="217">
        <v>62113</v>
      </c>
      <c r="T19" s="217">
        <v>47924</v>
      </c>
      <c r="U19" s="82"/>
      <c r="V19" s="99"/>
      <c r="W19" s="99"/>
      <c r="X19" s="99"/>
      <c r="Y19" s="99"/>
      <c r="Z19" s="99"/>
    </row>
    <row r="20" spans="12:26" ht="30" customHeight="1">
      <c r="L20" s="17" t="s">
        <v>994</v>
      </c>
      <c r="M20" s="388">
        <v>480397</v>
      </c>
      <c r="N20" s="217">
        <v>200271</v>
      </c>
      <c r="O20" s="217">
        <v>181202</v>
      </c>
      <c r="P20" s="217">
        <v>19626</v>
      </c>
      <c r="Q20" s="217">
        <v>79298</v>
      </c>
      <c r="R20" s="217">
        <v>480397</v>
      </c>
      <c r="S20" s="217">
        <v>422736</v>
      </c>
      <c r="T20" s="217">
        <v>57661</v>
      </c>
      <c r="U20" s="99"/>
      <c r="V20" s="99"/>
      <c r="W20" s="99"/>
      <c r="X20" s="99"/>
      <c r="Y20" s="99"/>
      <c r="Z20" s="99"/>
    </row>
    <row r="21" spans="12:26" ht="24.75" customHeight="1" hidden="1">
      <c r="L21" s="23" t="s">
        <v>995</v>
      </c>
      <c r="M21" s="388">
        <f>N21+O21+P21+Q21</f>
        <v>52670</v>
      </c>
      <c r="N21" s="217">
        <v>32751</v>
      </c>
      <c r="O21" s="217">
        <v>15030</v>
      </c>
      <c r="P21" s="217">
        <v>536</v>
      </c>
      <c r="Q21" s="217">
        <v>4353</v>
      </c>
      <c r="R21" s="217">
        <f>SUM(S21:T21)</f>
        <v>52670</v>
      </c>
      <c r="S21" s="217">
        <v>41379</v>
      </c>
      <c r="T21" s="217">
        <v>11291</v>
      </c>
      <c r="U21" s="82"/>
      <c r="V21" s="99"/>
      <c r="W21" s="99"/>
      <c r="X21" s="99"/>
      <c r="Y21" s="99"/>
      <c r="Z21" s="99"/>
    </row>
    <row r="22" spans="12:26" ht="24.75" customHeight="1" hidden="1">
      <c r="L22" s="23" t="s">
        <v>942</v>
      </c>
      <c r="M22" s="388">
        <f>N22+O22+P22+Q22</f>
        <v>98997</v>
      </c>
      <c r="N22" s="217">
        <v>35864</v>
      </c>
      <c r="O22" s="217">
        <v>29624</v>
      </c>
      <c r="P22" s="217">
        <v>12381</v>
      </c>
      <c r="Q22" s="217">
        <v>21128</v>
      </c>
      <c r="R22" s="217">
        <f>SUM(S22:T22)</f>
        <v>98997</v>
      </c>
      <c r="S22" s="217">
        <v>91247</v>
      </c>
      <c r="T22" s="217">
        <v>7750</v>
      </c>
      <c r="U22" s="99"/>
      <c r="V22" s="99"/>
      <c r="W22" s="99"/>
      <c r="X22" s="99"/>
      <c r="Y22" s="99"/>
      <c r="Z22" s="99"/>
    </row>
    <row r="23" spans="12:26" ht="24.75" customHeight="1" hidden="1">
      <c r="L23" s="23" t="s">
        <v>1327</v>
      </c>
      <c r="M23" s="388">
        <f>SUM(N23:Q23)</f>
        <v>220465</v>
      </c>
      <c r="N23" s="217">
        <v>91542</v>
      </c>
      <c r="O23" s="217">
        <v>99307</v>
      </c>
      <c r="P23" s="217">
        <v>4452</v>
      </c>
      <c r="Q23" s="217">
        <v>25164</v>
      </c>
      <c r="R23" s="217">
        <f>SUM(S23:T23)</f>
        <v>220465</v>
      </c>
      <c r="S23" s="217">
        <v>194216</v>
      </c>
      <c r="T23" s="217">
        <v>26249</v>
      </c>
      <c r="U23" s="99"/>
      <c r="V23" s="99"/>
      <c r="W23" s="99"/>
      <c r="X23" s="99"/>
      <c r="Y23" s="99"/>
      <c r="Z23" s="99"/>
    </row>
    <row r="24" spans="12:26" ht="24.75" customHeight="1" hidden="1">
      <c r="L24" s="23" t="s">
        <v>1325</v>
      </c>
      <c r="M24" s="388">
        <v>108265</v>
      </c>
      <c r="N24" s="217">
        <v>40114</v>
      </c>
      <c r="O24" s="217">
        <v>37241</v>
      </c>
      <c r="P24" s="217">
        <v>2257</v>
      </c>
      <c r="Q24" s="217">
        <v>28653</v>
      </c>
      <c r="R24" s="217">
        <f>SUM(S24:T24)</f>
        <v>108265</v>
      </c>
      <c r="S24" s="217">
        <v>95894</v>
      </c>
      <c r="T24" s="217">
        <v>12371</v>
      </c>
      <c r="U24" s="99"/>
      <c r="V24" s="99"/>
      <c r="W24" s="99"/>
      <c r="X24" s="99"/>
      <c r="Y24" s="99"/>
      <c r="Z24" s="99"/>
    </row>
    <row r="25" spans="12:26" ht="30" customHeight="1">
      <c r="L25" s="17" t="s">
        <v>996</v>
      </c>
      <c r="M25" s="388">
        <v>568662</v>
      </c>
      <c r="N25" s="217">
        <v>262562</v>
      </c>
      <c r="O25" s="217">
        <v>190032</v>
      </c>
      <c r="P25" s="217">
        <v>20032</v>
      </c>
      <c r="Q25" s="217">
        <v>96036</v>
      </c>
      <c r="R25" s="217">
        <v>568662</v>
      </c>
      <c r="S25" s="217">
        <v>454911</v>
      </c>
      <c r="T25" s="217">
        <v>113751</v>
      </c>
      <c r="U25" s="99"/>
      <c r="V25" s="99"/>
      <c r="W25" s="99"/>
      <c r="X25" s="99"/>
      <c r="Y25" s="99"/>
      <c r="Z25" s="99"/>
    </row>
    <row r="26" spans="12:26" ht="24.75" customHeight="1" hidden="1">
      <c r="L26" s="23" t="s">
        <v>941</v>
      </c>
      <c r="M26" s="388">
        <v>176027</v>
      </c>
      <c r="N26" s="217">
        <v>67065</v>
      </c>
      <c r="O26" s="217">
        <v>96362</v>
      </c>
      <c r="P26" s="217">
        <v>9284</v>
      </c>
      <c r="Q26" s="217">
        <v>3316</v>
      </c>
      <c r="R26" s="217">
        <v>176027</v>
      </c>
      <c r="S26" s="217">
        <v>134790</v>
      </c>
      <c r="T26" s="217">
        <v>41237</v>
      </c>
      <c r="U26" s="99"/>
      <c r="V26" s="99"/>
      <c r="W26" s="99"/>
      <c r="X26" s="99"/>
      <c r="Y26" s="99"/>
      <c r="Z26" s="99"/>
    </row>
    <row r="27" spans="12:26" ht="24.75" customHeight="1" hidden="1">
      <c r="L27" s="23" t="s">
        <v>942</v>
      </c>
      <c r="M27" s="388">
        <v>126654</v>
      </c>
      <c r="N27" s="217">
        <v>64307</v>
      </c>
      <c r="O27" s="217">
        <v>35186</v>
      </c>
      <c r="P27" s="217">
        <v>5851</v>
      </c>
      <c r="Q27" s="217">
        <v>21310</v>
      </c>
      <c r="R27" s="217">
        <v>126654</v>
      </c>
      <c r="S27" s="217">
        <v>118451</v>
      </c>
      <c r="T27" s="217">
        <v>8203</v>
      </c>
      <c r="U27" s="99"/>
      <c r="V27" s="99"/>
      <c r="W27" s="99"/>
      <c r="X27" s="99"/>
      <c r="Y27" s="99"/>
      <c r="Z27" s="99"/>
    </row>
    <row r="28" spans="12:26" ht="24.75" customHeight="1" hidden="1">
      <c r="L28" s="23" t="s">
        <v>1327</v>
      </c>
      <c r="M28" s="388">
        <v>102372</v>
      </c>
      <c r="N28" s="217">
        <v>55306</v>
      </c>
      <c r="O28" s="217">
        <v>38458</v>
      </c>
      <c r="P28" s="217">
        <v>3267</v>
      </c>
      <c r="Q28" s="217">
        <v>5341</v>
      </c>
      <c r="R28" s="217">
        <v>102372</v>
      </c>
      <c r="S28" s="217">
        <v>93657</v>
      </c>
      <c r="T28" s="217">
        <v>8715</v>
      </c>
      <c r="U28" s="99"/>
      <c r="V28" s="99"/>
      <c r="W28" s="99"/>
      <c r="X28" s="51"/>
      <c r="Y28" s="99"/>
      <c r="Z28" s="99"/>
    </row>
    <row r="29" spans="12:26" ht="24.75" customHeight="1" hidden="1">
      <c r="L29" s="26" t="s">
        <v>1325</v>
      </c>
      <c r="M29" s="217">
        <v>163609</v>
      </c>
      <c r="N29" s="217">
        <v>75884</v>
      </c>
      <c r="O29" s="217">
        <v>20026</v>
      </c>
      <c r="P29" s="217">
        <v>1630</v>
      </c>
      <c r="Q29" s="217">
        <v>66069</v>
      </c>
      <c r="R29" s="217">
        <v>163609</v>
      </c>
      <c r="S29" s="217">
        <v>108013</v>
      </c>
      <c r="T29" s="217">
        <v>55596</v>
      </c>
      <c r="U29" s="99"/>
      <c r="V29" s="99"/>
      <c r="W29" s="99"/>
      <c r="X29" s="99"/>
      <c r="Y29" s="41" t="s">
        <v>1404</v>
      </c>
      <c r="Z29" s="394">
        <v>75564</v>
      </c>
    </row>
    <row r="30" spans="12:26" ht="30" customHeight="1">
      <c r="L30" s="25" t="s">
        <v>997</v>
      </c>
      <c r="M30" s="217">
        <f aca="true" t="shared" si="2" ref="M30:T30">SUM(M31:M34)</f>
        <v>551405</v>
      </c>
      <c r="N30" s="217">
        <f t="shared" si="2"/>
        <v>255516</v>
      </c>
      <c r="O30" s="217">
        <f t="shared" si="2"/>
        <v>188825</v>
      </c>
      <c r="P30" s="217">
        <f t="shared" si="2"/>
        <v>42598</v>
      </c>
      <c r="Q30" s="217">
        <f t="shared" si="2"/>
        <v>64466</v>
      </c>
      <c r="R30" s="217">
        <f t="shared" si="2"/>
        <v>551405</v>
      </c>
      <c r="S30" s="217">
        <f t="shared" si="2"/>
        <v>510332</v>
      </c>
      <c r="T30" s="217">
        <f t="shared" si="2"/>
        <v>41073</v>
      </c>
      <c r="U30" s="99"/>
      <c r="V30" s="99"/>
      <c r="W30" s="99"/>
      <c r="X30" s="99"/>
      <c r="Y30" s="41"/>
      <c r="Z30" s="394"/>
    </row>
    <row r="31" spans="12:26" ht="24.75" customHeight="1" hidden="1">
      <c r="L31" s="26" t="s">
        <v>941</v>
      </c>
      <c r="M31" s="217">
        <v>140555</v>
      </c>
      <c r="N31" s="217">
        <v>49421</v>
      </c>
      <c r="O31" s="217">
        <v>54331</v>
      </c>
      <c r="P31" s="217">
        <v>17030</v>
      </c>
      <c r="Q31" s="217">
        <v>19773</v>
      </c>
      <c r="R31" s="217">
        <v>140555</v>
      </c>
      <c r="S31" s="217">
        <v>132554</v>
      </c>
      <c r="T31" s="217">
        <v>8001</v>
      </c>
      <c r="U31" s="99"/>
      <c r="V31" s="99"/>
      <c r="W31" s="99"/>
      <c r="X31" s="99"/>
      <c r="Y31" s="41"/>
      <c r="Z31" s="92"/>
    </row>
    <row r="32" spans="12:26" ht="24.75" customHeight="1" hidden="1">
      <c r="L32" s="26" t="s">
        <v>942</v>
      </c>
      <c r="M32" s="217">
        <v>143607</v>
      </c>
      <c r="N32" s="217">
        <v>78096</v>
      </c>
      <c r="O32" s="217">
        <v>29760</v>
      </c>
      <c r="P32" s="217">
        <v>14792</v>
      </c>
      <c r="Q32" s="217">
        <v>20959</v>
      </c>
      <c r="R32" s="217">
        <v>143607</v>
      </c>
      <c r="S32" s="217">
        <v>122014</v>
      </c>
      <c r="T32" s="217">
        <v>21593</v>
      </c>
      <c r="U32" s="99"/>
      <c r="V32" s="99"/>
      <c r="W32" s="99"/>
      <c r="X32" s="99"/>
      <c r="Y32" s="51"/>
      <c r="Z32" s="92"/>
    </row>
    <row r="33" spans="12:26" ht="24.75" customHeight="1" hidden="1">
      <c r="L33" s="26" t="s">
        <v>1327</v>
      </c>
      <c r="M33" s="217">
        <v>115820</v>
      </c>
      <c r="N33" s="217">
        <v>59592</v>
      </c>
      <c r="O33" s="217">
        <v>39600</v>
      </c>
      <c r="P33" s="217">
        <v>8294</v>
      </c>
      <c r="Q33" s="217">
        <v>8334</v>
      </c>
      <c r="R33" s="217">
        <v>115820</v>
      </c>
      <c r="S33" s="217">
        <v>110555</v>
      </c>
      <c r="T33" s="217">
        <v>5265</v>
      </c>
      <c r="U33" s="99"/>
      <c r="V33" s="99"/>
      <c r="W33" s="99"/>
      <c r="X33" s="99"/>
      <c r="Y33" s="51"/>
      <c r="Z33" s="394"/>
    </row>
    <row r="34" spans="12:26" ht="24.75" customHeight="1" hidden="1">
      <c r="L34" s="26" t="s">
        <v>1325</v>
      </c>
      <c r="M34" s="217">
        <v>151423</v>
      </c>
      <c r="N34" s="217">
        <v>68407</v>
      </c>
      <c r="O34" s="217">
        <v>65134</v>
      </c>
      <c r="P34" s="217">
        <v>2482</v>
      </c>
      <c r="Q34" s="217">
        <v>15400</v>
      </c>
      <c r="R34" s="217">
        <v>151423</v>
      </c>
      <c r="S34" s="217">
        <v>145209</v>
      </c>
      <c r="T34" s="217">
        <v>6214</v>
      </c>
      <c r="U34" s="99"/>
      <c r="V34" s="99"/>
      <c r="W34" s="99"/>
      <c r="X34" s="99"/>
      <c r="Y34" s="99"/>
      <c r="Z34" s="394"/>
    </row>
    <row r="35" spans="12:26" ht="30" customHeight="1">
      <c r="L35" s="25" t="s">
        <v>998</v>
      </c>
      <c r="M35" s="217">
        <f>SUM(M36:M39)</f>
        <v>604253</v>
      </c>
      <c r="N35" s="217">
        <v>204532</v>
      </c>
      <c r="O35" s="217">
        <v>78638</v>
      </c>
      <c r="P35" s="217">
        <v>42239</v>
      </c>
      <c r="Q35" s="217">
        <v>255656</v>
      </c>
      <c r="R35" s="217">
        <v>604253</v>
      </c>
      <c r="S35" s="217">
        <v>489301</v>
      </c>
      <c r="T35" s="217">
        <v>114952</v>
      </c>
      <c r="U35" s="99"/>
      <c r="V35" s="99"/>
      <c r="W35" s="99"/>
      <c r="X35" s="99"/>
      <c r="Y35" s="99"/>
      <c r="Z35" s="394"/>
    </row>
    <row r="36" spans="12:26" ht="24.75" customHeight="1" hidden="1">
      <c r="L36" s="26" t="s">
        <v>941</v>
      </c>
      <c r="M36" s="217">
        <f>SUM(N36:Q36)</f>
        <v>105012</v>
      </c>
      <c r="N36" s="217">
        <v>35625</v>
      </c>
      <c r="O36" s="217">
        <v>25395</v>
      </c>
      <c r="P36" s="217">
        <v>1030</v>
      </c>
      <c r="Q36" s="217">
        <v>42962</v>
      </c>
      <c r="R36" s="217">
        <v>105012</v>
      </c>
      <c r="S36" s="217">
        <v>81360</v>
      </c>
      <c r="T36" s="217">
        <v>23652</v>
      </c>
      <c r="U36" s="99"/>
      <c r="V36" s="99"/>
      <c r="W36" s="99"/>
      <c r="X36" s="99"/>
      <c r="Y36" s="99"/>
      <c r="Z36" s="394"/>
    </row>
    <row r="37" spans="12:26" ht="24.75" customHeight="1" hidden="1">
      <c r="L37" s="26" t="s">
        <v>942</v>
      </c>
      <c r="M37" s="217">
        <v>129438</v>
      </c>
      <c r="N37" s="217">
        <v>54739</v>
      </c>
      <c r="O37" s="217">
        <v>15777</v>
      </c>
      <c r="P37" s="217">
        <v>311</v>
      </c>
      <c r="Q37" s="217">
        <v>58611</v>
      </c>
      <c r="R37" s="217">
        <v>129438</v>
      </c>
      <c r="S37" s="217">
        <v>114173</v>
      </c>
      <c r="T37" s="217">
        <v>15265</v>
      </c>
      <c r="U37" s="99"/>
      <c r="V37" s="99"/>
      <c r="W37" s="99"/>
      <c r="X37" s="99"/>
      <c r="Y37" s="99"/>
      <c r="Z37" s="394"/>
    </row>
    <row r="38" spans="12:26" ht="24.75" customHeight="1" hidden="1">
      <c r="L38" s="26" t="s">
        <v>1327</v>
      </c>
      <c r="M38" s="217">
        <v>234064</v>
      </c>
      <c r="N38" s="217">
        <v>73722</v>
      </c>
      <c r="O38" s="217">
        <v>32042</v>
      </c>
      <c r="P38" s="217">
        <v>39213</v>
      </c>
      <c r="Q38" s="217">
        <v>89087</v>
      </c>
      <c r="R38" s="217">
        <v>234064</v>
      </c>
      <c r="S38" s="217">
        <v>189020</v>
      </c>
      <c r="T38" s="217">
        <v>45044</v>
      </c>
      <c r="U38" s="99"/>
      <c r="V38" s="99"/>
      <c r="W38" s="99"/>
      <c r="X38" s="99"/>
      <c r="Y38" s="99"/>
      <c r="Z38" s="394"/>
    </row>
    <row r="39" spans="12:26" ht="24.75" customHeight="1" hidden="1">
      <c r="L39" s="26" t="s">
        <v>1325</v>
      </c>
      <c r="M39" s="217">
        <v>135739</v>
      </c>
      <c r="N39" s="217">
        <v>40446</v>
      </c>
      <c r="O39" s="217">
        <v>5424</v>
      </c>
      <c r="P39" s="217">
        <v>1685</v>
      </c>
      <c r="Q39" s="217">
        <v>88184</v>
      </c>
      <c r="R39" s="217">
        <v>135739</v>
      </c>
      <c r="S39" s="217">
        <v>104748</v>
      </c>
      <c r="T39" s="217">
        <v>30991</v>
      </c>
      <c r="U39" s="99"/>
      <c r="V39" s="99"/>
      <c r="W39" s="99"/>
      <c r="X39" s="99"/>
      <c r="Y39" s="99"/>
      <c r="Z39" s="394"/>
    </row>
    <row r="40" spans="12:26" ht="30" customHeight="1">
      <c r="L40" s="25" t="s">
        <v>999</v>
      </c>
      <c r="M40" s="217">
        <v>880569</v>
      </c>
      <c r="N40" s="217">
        <v>282900</v>
      </c>
      <c r="O40" s="217">
        <v>271994</v>
      </c>
      <c r="P40" s="217">
        <v>795</v>
      </c>
      <c r="Q40" s="217">
        <v>324880</v>
      </c>
      <c r="R40" s="217">
        <v>880569</v>
      </c>
      <c r="S40" s="217">
        <v>782928</v>
      </c>
      <c r="T40" s="217">
        <v>97641</v>
      </c>
      <c r="U40" s="99"/>
      <c r="V40" s="99"/>
      <c r="W40" s="99"/>
      <c r="X40" s="99"/>
      <c r="Y40" s="99"/>
      <c r="Z40" s="394"/>
    </row>
    <row r="41" spans="12:26" ht="24.75" customHeight="1" hidden="1">
      <c r="L41" s="26" t="s">
        <v>941</v>
      </c>
      <c r="M41" s="217">
        <v>205975</v>
      </c>
      <c r="N41" s="217">
        <v>88203</v>
      </c>
      <c r="O41" s="217">
        <v>25682</v>
      </c>
      <c r="P41" s="217">
        <v>0</v>
      </c>
      <c r="Q41" s="217">
        <v>92090</v>
      </c>
      <c r="R41" s="217">
        <v>205975</v>
      </c>
      <c r="S41" s="217">
        <v>176524</v>
      </c>
      <c r="T41" s="217">
        <v>29451</v>
      </c>
      <c r="U41" s="99"/>
      <c r="V41" s="99"/>
      <c r="W41" s="99"/>
      <c r="X41" s="99"/>
      <c r="Y41" s="51"/>
      <c r="Z41" s="394"/>
    </row>
    <row r="42" spans="12:26" ht="24.75" customHeight="1" hidden="1">
      <c r="L42" s="26" t="s">
        <v>942</v>
      </c>
      <c r="M42" s="217">
        <v>197599</v>
      </c>
      <c r="N42" s="217">
        <v>91926</v>
      </c>
      <c r="O42" s="217">
        <v>26469</v>
      </c>
      <c r="P42" s="217">
        <v>351</v>
      </c>
      <c r="Q42" s="217">
        <v>78853</v>
      </c>
      <c r="R42" s="217">
        <v>197599</v>
      </c>
      <c r="S42" s="217">
        <v>167331</v>
      </c>
      <c r="T42" s="217">
        <v>30268</v>
      </c>
      <c r="U42" s="99"/>
      <c r="V42" s="99"/>
      <c r="W42" s="99"/>
      <c r="X42" s="99"/>
      <c r="Y42" s="51"/>
      <c r="Z42" s="394"/>
    </row>
    <row r="43" spans="12:26" ht="24.75" customHeight="1" hidden="1">
      <c r="L43" s="26" t="s">
        <v>1327</v>
      </c>
      <c r="M43" s="217">
        <v>158011</v>
      </c>
      <c r="N43" s="217">
        <v>66195</v>
      </c>
      <c r="O43" s="217">
        <v>23890</v>
      </c>
      <c r="P43" s="217">
        <v>444</v>
      </c>
      <c r="Q43" s="217">
        <v>67482</v>
      </c>
      <c r="R43" s="217">
        <v>158011</v>
      </c>
      <c r="S43" s="217">
        <v>141511</v>
      </c>
      <c r="T43" s="217">
        <v>16500</v>
      </c>
      <c r="U43" s="99"/>
      <c r="V43" s="99"/>
      <c r="W43" s="99"/>
      <c r="X43" s="99"/>
      <c r="Y43" s="51"/>
      <c r="Z43" s="394"/>
    </row>
    <row r="44" spans="12:26" ht="30.75" customHeight="1" hidden="1">
      <c r="L44" s="26" t="s">
        <v>108</v>
      </c>
      <c r="M44" s="217">
        <v>318984</v>
      </c>
      <c r="N44" s="217">
        <v>36576</v>
      </c>
      <c r="O44" s="217">
        <v>195953</v>
      </c>
      <c r="P44" s="217">
        <v>0</v>
      </c>
      <c r="Q44" s="217">
        <v>86455</v>
      </c>
      <c r="R44" s="217">
        <v>318984</v>
      </c>
      <c r="S44" s="217">
        <v>297562</v>
      </c>
      <c r="T44" s="217">
        <v>21422</v>
      </c>
      <c r="U44" s="99"/>
      <c r="V44" s="99" t="s">
        <v>144</v>
      </c>
      <c r="W44" s="99">
        <v>478728</v>
      </c>
      <c r="X44" s="99"/>
      <c r="Y44" s="51"/>
      <c r="Z44" s="394"/>
    </row>
    <row r="45" spans="12:26" ht="30" customHeight="1">
      <c r="L45" s="25" t="s">
        <v>940</v>
      </c>
      <c r="M45" s="217">
        <f>SUM(M46:M49)</f>
        <v>478728</v>
      </c>
      <c r="N45" s="217">
        <f aca="true" t="shared" si="3" ref="N45:T45">SUM(N46:N49)</f>
        <v>91888</v>
      </c>
      <c r="O45" s="217">
        <f t="shared" si="3"/>
        <v>134379</v>
      </c>
      <c r="P45" s="217">
        <f t="shared" si="3"/>
        <v>1118</v>
      </c>
      <c r="Q45" s="217">
        <f t="shared" si="3"/>
        <v>251343</v>
      </c>
      <c r="R45" s="217">
        <f t="shared" si="3"/>
        <v>478728</v>
      </c>
      <c r="S45" s="217">
        <f t="shared" si="3"/>
        <v>400110</v>
      </c>
      <c r="T45" s="217">
        <f t="shared" si="3"/>
        <v>78618</v>
      </c>
      <c r="U45" s="99"/>
      <c r="V45" s="99"/>
      <c r="W45" s="99"/>
      <c r="X45" s="99"/>
      <c r="Y45" s="51"/>
      <c r="Z45" s="394"/>
    </row>
    <row r="46" spans="12:26" ht="30" customHeight="1" hidden="1">
      <c r="L46" s="26" t="s">
        <v>941</v>
      </c>
      <c r="M46" s="217">
        <v>125482</v>
      </c>
      <c r="N46" s="217">
        <v>31031</v>
      </c>
      <c r="O46" s="217">
        <v>22708</v>
      </c>
      <c r="P46" s="217">
        <v>0</v>
      </c>
      <c r="Q46" s="217">
        <v>71743</v>
      </c>
      <c r="R46" s="217">
        <v>125482</v>
      </c>
      <c r="S46" s="217">
        <v>116083</v>
      </c>
      <c r="T46" s="217">
        <v>9399</v>
      </c>
      <c r="U46" s="99"/>
      <c r="V46" s="99"/>
      <c r="W46" s="99"/>
      <c r="X46" s="99"/>
      <c r="Y46" s="51"/>
      <c r="Z46" s="394"/>
    </row>
    <row r="47" spans="12:26" ht="30" customHeight="1" hidden="1">
      <c r="L47" s="26" t="s">
        <v>942</v>
      </c>
      <c r="M47" s="217">
        <v>103798</v>
      </c>
      <c r="N47" s="217">
        <v>22094</v>
      </c>
      <c r="O47" s="217">
        <v>36628</v>
      </c>
      <c r="P47" s="217">
        <v>43</v>
      </c>
      <c r="Q47" s="217">
        <v>45033</v>
      </c>
      <c r="R47" s="217">
        <v>103798</v>
      </c>
      <c r="S47" s="217">
        <v>85312</v>
      </c>
      <c r="T47" s="217">
        <v>18486</v>
      </c>
      <c r="U47" s="99"/>
      <c r="V47" s="99"/>
      <c r="W47" s="99"/>
      <c r="X47" s="99"/>
      <c r="Y47" s="51"/>
      <c r="Z47" s="394"/>
    </row>
    <row r="48" spans="12:26" ht="30" customHeight="1" hidden="1">
      <c r="L48" s="26" t="s">
        <v>1327</v>
      </c>
      <c r="M48" s="217">
        <f>SUM('[3]總樓板面積'!C91:C93)</f>
        <v>102021</v>
      </c>
      <c r="N48" s="217">
        <f>SUM('[3]總樓板面積'!D91:D93)</f>
        <v>24552</v>
      </c>
      <c r="O48" s="217">
        <f>SUM('[3]總樓板面積'!E91:E93)</f>
        <v>15370</v>
      </c>
      <c r="P48" s="217">
        <f>SUM('[3]總樓板面積'!F91:F93)</f>
        <v>42</v>
      </c>
      <c r="Q48" s="217">
        <f>SUM('[3]總樓板面積'!G91:G93)</f>
        <v>62057</v>
      </c>
      <c r="R48" s="217">
        <f>SUM('[3]總樓板面積'!H91:H93)</f>
        <v>102021</v>
      </c>
      <c r="S48" s="217">
        <f>SUM('[3]總樓板面積'!I91:I93)</f>
        <v>75160</v>
      </c>
      <c r="T48" s="217">
        <f>SUM('[3]總樓板面積'!J91:J93)</f>
        <v>26861</v>
      </c>
      <c r="U48" s="466"/>
      <c r="V48" s="99"/>
      <c r="W48" s="99"/>
      <c r="X48" s="99"/>
      <c r="Y48" s="51"/>
      <c r="Z48" s="394"/>
    </row>
    <row r="49" spans="12:26" ht="30" customHeight="1">
      <c r="L49" s="26" t="s">
        <v>109</v>
      </c>
      <c r="M49" s="217">
        <f>SUM('[12]總樓板面積'!C94:C96)</f>
        <v>147427</v>
      </c>
      <c r="N49" s="217">
        <f>SUM('[12]總樓板面積'!D94:D96)</f>
        <v>14211</v>
      </c>
      <c r="O49" s="217">
        <f>SUM('[12]總樓板面積'!E94:E96)</f>
        <v>59673</v>
      </c>
      <c r="P49" s="217">
        <f>SUM('[12]總樓板面積'!F94:F96)</f>
        <v>1033</v>
      </c>
      <c r="Q49" s="217">
        <f>SUM('[12]總樓板面積'!G94:G96)</f>
        <v>72510</v>
      </c>
      <c r="R49" s="217">
        <f>SUM('[12]總樓板面積'!H94:H96)</f>
        <v>147427</v>
      </c>
      <c r="S49" s="217">
        <f>SUM('[12]總樓板面積'!I94:I96)</f>
        <v>123555</v>
      </c>
      <c r="T49" s="217">
        <f>SUM('[12]總樓板面積'!J94:J96)</f>
        <v>23872</v>
      </c>
      <c r="U49" s="466"/>
      <c r="V49" s="99"/>
      <c r="W49" s="99"/>
      <c r="X49" s="99"/>
      <c r="Y49" s="51"/>
      <c r="Z49" s="394"/>
    </row>
    <row r="50" spans="12:26" ht="30" customHeight="1">
      <c r="L50" s="25" t="s">
        <v>1199</v>
      </c>
      <c r="M50" s="217">
        <f>SUM(M51:M54)</f>
        <v>410511</v>
      </c>
      <c r="N50" s="217">
        <f aca="true" t="shared" si="4" ref="N50:T50">SUM(N51:N54)</f>
        <v>135415</v>
      </c>
      <c r="O50" s="217">
        <f t="shared" si="4"/>
        <v>96849</v>
      </c>
      <c r="P50" s="217">
        <f t="shared" si="4"/>
        <v>3392</v>
      </c>
      <c r="Q50" s="217">
        <f t="shared" si="4"/>
        <v>174855</v>
      </c>
      <c r="R50" s="217">
        <f t="shared" si="4"/>
        <v>410511</v>
      </c>
      <c r="S50" s="217">
        <f t="shared" si="4"/>
        <v>346783</v>
      </c>
      <c r="T50" s="217">
        <f t="shared" si="4"/>
        <v>63728</v>
      </c>
      <c r="U50" s="99"/>
      <c r="V50" s="99"/>
      <c r="W50" s="99"/>
      <c r="X50" s="99"/>
      <c r="Y50" s="51"/>
      <c r="Z50" s="394"/>
    </row>
    <row r="51" spans="12:26" ht="30" customHeight="1">
      <c r="L51" s="26" t="s">
        <v>941</v>
      </c>
      <c r="M51" s="217">
        <f>SUM('[15]總樓板面積'!C98:C100)</f>
        <v>79334</v>
      </c>
      <c r="N51" s="217">
        <f>SUM('[15]總樓板面積'!D98:D100)</f>
        <v>21397</v>
      </c>
      <c r="O51" s="217">
        <f>SUM('[15]總樓板面積'!E98:E100)</f>
        <v>23986</v>
      </c>
      <c r="P51" s="217">
        <f>SUM('[15]總樓板面積'!F98:F100)</f>
        <v>0</v>
      </c>
      <c r="Q51" s="217">
        <f>SUM('[15]總樓板面積'!G98:G100)</f>
        <v>33951</v>
      </c>
      <c r="R51" s="217">
        <f>SUM('[15]總樓板面積'!H98:H100)</f>
        <v>79334</v>
      </c>
      <c r="S51" s="217">
        <f>SUM('[15]總樓板面積'!I98:I100)</f>
        <v>53325</v>
      </c>
      <c r="T51" s="217">
        <f>SUM('[15]總樓板面積'!J98:J100)</f>
        <v>26009</v>
      </c>
      <c r="U51" s="99"/>
      <c r="V51" s="99"/>
      <c r="W51" s="99"/>
      <c r="X51" s="99"/>
      <c r="Y51" s="51"/>
      <c r="Z51" s="394"/>
    </row>
    <row r="52" spans="12:26" ht="30" customHeight="1">
      <c r="L52" s="26" t="s">
        <v>942</v>
      </c>
      <c r="M52" s="217">
        <f>SUM('[18]總樓板面積'!C101:C103)</f>
        <v>129943</v>
      </c>
      <c r="N52" s="217">
        <f>SUM('[18]總樓板面積'!D101:D103)</f>
        <v>17305</v>
      </c>
      <c r="O52" s="217">
        <f>SUM('[18]總樓板面積'!E101:E103)</f>
        <v>41557</v>
      </c>
      <c r="P52" s="217">
        <f>SUM('[18]總樓板面積'!F101:F103)</f>
        <v>2157</v>
      </c>
      <c r="Q52" s="217">
        <f>SUM('[18]總樓板面積'!G101:G103)</f>
        <v>68924</v>
      </c>
      <c r="R52" s="217">
        <f>SUM('[18]總樓板面積'!H101:H103)</f>
        <v>129943</v>
      </c>
      <c r="S52" s="217">
        <f>SUM('[18]總樓板面積'!I101:I103)</f>
        <v>118381</v>
      </c>
      <c r="T52" s="217">
        <f>SUM('[18]總樓板面積'!J101:J103)</f>
        <v>11562</v>
      </c>
      <c r="U52" s="99"/>
      <c r="V52" s="99"/>
      <c r="W52" s="99"/>
      <c r="X52" s="99"/>
      <c r="Y52" s="51"/>
      <c r="Z52" s="394"/>
    </row>
    <row r="53" spans="12:26" ht="30" customHeight="1">
      <c r="L53" s="26" t="s">
        <v>1327</v>
      </c>
      <c r="M53" s="217">
        <f>SUM('[20]總樓板面積'!C104:C106)</f>
        <v>114901</v>
      </c>
      <c r="N53" s="217">
        <f>SUM('[20]總樓板面積'!D104:D106)</f>
        <v>60104</v>
      </c>
      <c r="O53" s="217">
        <f>SUM('[20]總樓板面積'!E104:E106)</f>
        <v>13936</v>
      </c>
      <c r="P53" s="217">
        <f>SUM('[20]總樓板面積'!F104:F106)</f>
        <v>403</v>
      </c>
      <c r="Q53" s="217">
        <f>SUM('[20]總樓板面積'!G104:G106)</f>
        <v>40458</v>
      </c>
      <c r="R53" s="217">
        <f>SUM('[20]總樓板面積'!H104:H106)</f>
        <v>114901</v>
      </c>
      <c r="S53" s="217">
        <f>SUM('[20]總樓板面積'!I104:I106)</f>
        <v>95737</v>
      </c>
      <c r="T53" s="217">
        <f>SUM('[20]總樓板面積'!J104:J106)</f>
        <v>19164</v>
      </c>
      <c r="U53" s="466"/>
      <c r="V53" s="99"/>
      <c r="W53" s="99"/>
      <c r="X53" s="99"/>
      <c r="Y53" s="51"/>
      <c r="Z53" s="394"/>
    </row>
    <row r="54" spans="12:26" ht="30" customHeight="1" thickBot="1">
      <c r="L54" s="26" t="s">
        <v>109</v>
      </c>
      <c r="M54" s="217">
        <f>SUM('[23]總樓板面積'!C107:C109)</f>
        <v>86333</v>
      </c>
      <c r="N54" s="217">
        <f>SUM('[23]總樓板面積'!D107:D109)</f>
        <v>36609</v>
      </c>
      <c r="O54" s="217">
        <f>SUM('[23]總樓板面積'!E107:E109)</f>
        <v>17370</v>
      </c>
      <c r="P54" s="217">
        <f>SUM('[23]總樓板面積'!F107:F109)</f>
        <v>832</v>
      </c>
      <c r="Q54" s="217">
        <f>SUM('[23]總樓板面積'!G107:G109)</f>
        <v>31522</v>
      </c>
      <c r="R54" s="217">
        <f>SUM('[23]總樓板面積'!H107:H109)</f>
        <v>86333</v>
      </c>
      <c r="S54" s="217">
        <f>SUM('[23]總樓板面積'!I107:I109)</f>
        <v>79340</v>
      </c>
      <c r="T54" s="217">
        <f>SUM('[23]總樓板面積'!J107:J109)</f>
        <v>6993</v>
      </c>
      <c r="U54" s="466"/>
      <c r="V54" s="99"/>
      <c r="W54" s="99"/>
      <c r="X54" s="99"/>
      <c r="Y54" s="51"/>
      <c r="Z54" s="394"/>
    </row>
    <row r="55" spans="12:26" ht="17.25" customHeight="1" thickBot="1">
      <c r="L55" s="997" t="s">
        <v>1405</v>
      </c>
      <c r="M55" s="1154">
        <f>(M54-M53)/M53*100</f>
        <v>-24.86314305358526</v>
      </c>
      <c r="N55" s="1151">
        <f aca="true" t="shared" si="5" ref="N55:T55">(N54-N53)/N53*100</f>
        <v>-39.09057633435379</v>
      </c>
      <c r="O55" s="1151">
        <f t="shared" si="5"/>
        <v>24.64121699196326</v>
      </c>
      <c r="P55" s="1151">
        <f t="shared" si="5"/>
        <v>106.4516129032258</v>
      </c>
      <c r="Q55" s="1151">
        <f t="shared" si="5"/>
        <v>-22.087102674378368</v>
      </c>
      <c r="R55" s="1151">
        <f t="shared" si="5"/>
        <v>-24.86314305358526</v>
      </c>
      <c r="S55" s="1151">
        <f t="shared" si="5"/>
        <v>-17.127129531946895</v>
      </c>
      <c r="T55" s="1151">
        <f t="shared" si="5"/>
        <v>-63.50970569818409</v>
      </c>
      <c r="V55" s="99"/>
      <c r="W55" s="99"/>
      <c r="X55" s="99"/>
      <c r="Y55" s="51"/>
      <c r="Z55" s="99"/>
    </row>
    <row r="56" spans="12:26" ht="24.75" customHeight="1" thickBot="1">
      <c r="L56" s="998"/>
      <c r="M56" s="1154"/>
      <c r="N56" s="1151"/>
      <c r="O56" s="1151"/>
      <c r="P56" s="1151"/>
      <c r="Q56" s="1151"/>
      <c r="R56" s="1151"/>
      <c r="S56" s="1151"/>
      <c r="T56" s="1151"/>
      <c r="V56" s="99"/>
      <c r="W56" s="99"/>
      <c r="X56" s="99"/>
      <c r="Y56" s="51"/>
      <c r="Z56" s="99"/>
    </row>
    <row r="57" spans="12:26" ht="15.75" customHeight="1" thickBot="1">
      <c r="L57" s="1311" t="s">
        <v>1406</v>
      </c>
      <c r="M57" s="1154">
        <f>(M54-M49)/M49*100</f>
        <v>-41.44017038941307</v>
      </c>
      <c r="N57" s="1151">
        <f aca="true" t="shared" si="6" ref="N57:T57">(N54-N49)/N49*100</f>
        <v>157.61030187882625</v>
      </c>
      <c r="O57" s="1151">
        <f t="shared" si="6"/>
        <v>-70.89135790055803</v>
      </c>
      <c r="P57" s="931">
        <f t="shared" si="6"/>
        <v>-19.457889641819943</v>
      </c>
      <c r="Q57" s="1151">
        <f t="shared" si="6"/>
        <v>-56.52737553440905</v>
      </c>
      <c r="R57" s="1151">
        <f t="shared" si="6"/>
        <v>-41.44017038941307</v>
      </c>
      <c r="S57" s="1151">
        <f t="shared" si="6"/>
        <v>-35.78568248957954</v>
      </c>
      <c r="T57" s="1151">
        <f t="shared" si="6"/>
        <v>-70.70626675603218</v>
      </c>
      <c r="V57" s="99"/>
      <c r="W57" s="99"/>
      <c r="X57" s="99"/>
      <c r="Y57" s="99"/>
      <c r="Z57" s="99"/>
    </row>
    <row r="58" spans="12:26" ht="24.75" customHeight="1" thickBot="1">
      <c r="L58" s="1243"/>
      <c r="M58" s="1154"/>
      <c r="N58" s="1151"/>
      <c r="O58" s="1151"/>
      <c r="P58" s="931"/>
      <c r="Q58" s="1151"/>
      <c r="R58" s="1151"/>
      <c r="S58" s="1151"/>
      <c r="T58" s="1151"/>
      <c r="V58" s="99"/>
      <c r="W58" s="99"/>
      <c r="X58" s="99"/>
      <c r="Y58" s="99"/>
      <c r="Z58" s="99"/>
    </row>
    <row r="59" spans="2:26" ht="24.7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2" t="s">
        <v>1407</v>
      </c>
      <c r="M59" s="426"/>
      <c r="N59" s="117"/>
      <c r="O59" s="117"/>
      <c r="P59" s="117"/>
      <c r="Q59" s="117"/>
      <c r="R59" s="426"/>
      <c r="S59" s="117"/>
      <c r="T59" s="117"/>
      <c r="V59" s="99"/>
      <c r="W59" s="99"/>
      <c r="X59" s="99"/>
      <c r="Y59" s="99"/>
      <c r="Z59" s="99"/>
    </row>
    <row r="60" spans="2:26" ht="57" customHeight="1">
      <c r="B60" s="899" t="s">
        <v>1291</v>
      </c>
      <c r="C60" s="899"/>
      <c r="D60" s="899"/>
      <c r="E60" s="899"/>
      <c r="F60" s="899"/>
      <c r="G60" s="899"/>
      <c r="H60" s="899"/>
      <c r="I60" s="899"/>
      <c r="J60" s="899"/>
      <c r="K60" s="37"/>
      <c r="L60" s="937" t="s">
        <v>1292</v>
      </c>
      <c r="M60" s="937"/>
      <c r="N60" s="937"/>
      <c r="O60" s="937"/>
      <c r="P60" s="937"/>
      <c r="Q60" s="937"/>
      <c r="R60" s="937"/>
      <c r="S60" s="937"/>
      <c r="T60" s="937"/>
      <c r="V60" s="99"/>
      <c r="W60" s="99"/>
      <c r="X60" s="99"/>
      <c r="Y60" s="51"/>
      <c r="Z60" s="99"/>
    </row>
    <row r="61" spans="12:26" ht="24.75" customHeight="1">
      <c r="L61" s="135"/>
      <c r="V61" s="99"/>
      <c r="W61" s="99"/>
      <c r="X61" s="99"/>
      <c r="Y61" s="51"/>
      <c r="Z61" s="99"/>
    </row>
    <row r="62" spans="13:26" ht="24.75" customHeight="1">
      <c r="M62" s="427"/>
      <c r="R62" s="427"/>
      <c r="V62" s="99"/>
      <c r="W62" s="99"/>
      <c r="X62" s="99"/>
      <c r="Y62" s="51"/>
      <c r="Z62" s="99"/>
    </row>
    <row r="63" spans="13:26" ht="24.75" customHeight="1">
      <c r="M63" s="427"/>
      <c r="R63" s="427"/>
      <c r="V63" s="99"/>
      <c r="W63" s="99"/>
      <c r="X63" s="99"/>
      <c r="Y63" s="51"/>
      <c r="Z63" s="99"/>
    </row>
    <row r="64" spans="13:26" ht="24.75" customHeight="1">
      <c r="M64" s="427"/>
      <c r="N64" s="194"/>
      <c r="R64" s="427"/>
      <c r="U64" s="51"/>
      <c r="V64" s="657"/>
      <c r="W64" s="99"/>
      <c r="X64" s="99"/>
      <c r="Y64" s="7" t="s">
        <v>248</v>
      </c>
      <c r="Z64" s="219">
        <v>147427</v>
      </c>
    </row>
    <row r="65" spans="13:26" ht="24.75" customHeight="1">
      <c r="M65" s="427"/>
      <c r="R65" s="427"/>
      <c r="U65" s="51" t="s">
        <v>214</v>
      </c>
      <c r="V65" s="389">
        <v>460626</v>
      </c>
      <c r="W65" s="99"/>
      <c r="X65" s="99"/>
      <c r="Y65" s="7" t="s">
        <v>249</v>
      </c>
      <c r="Z65" s="744">
        <v>79334</v>
      </c>
    </row>
    <row r="66" spans="13:26" ht="24.75" customHeight="1">
      <c r="M66" s="427"/>
      <c r="R66" s="427"/>
      <c r="U66" s="51" t="s">
        <v>232</v>
      </c>
      <c r="V66" s="657">
        <v>309754</v>
      </c>
      <c r="W66" s="99"/>
      <c r="X66" s="99"/>
      <c r="Y66" s="27" t="s">
        <v>250</v>
      </c>
      <c r="Z66" s="745">
        <v>129943</v>
      </c>
    </row>
    <row r="67" spans="13:26" ht="24.75" customHeight="1">
      <c r="M67" s="427"/>
      <c r="R67" s="427"/>
      <c r="U67" s="51" t="s">
        <v>233</v>
      </c>
      <c r="V67" s="657">
        <v>325158</v>
      </c>
      <c r="W67" s="99"/>
      <c r="X67" s="99"/>
      <c r="Y67" s="743" t="s">
        <v>251</v>
      </c>
      <c r="Z67" s="745">
        <v>114901</v>
      </c>
    </row>
    <row r="68" spans="13:26" ht="24.75" customHeight="1">
      <c r="M68" s="427"/>
      <c r="R68" s="427"/>
      <c r="U68" s="51" t="s">
        <v>234</v>
      </c>
      <c r="V68" s="657">
        <v>480397</v>
      </c>
      <c r="W68" s="99"/>
      <c r="X68" s="99"/>
      <c r="Y68" s="743" t="s">
        <v>247</v>
      </c>
      <c r="Z68" s="745">
        <v>86333</v>
      </c>
    </row>
    <row r="69" spans="13:26" ht="24.75" customHeight="1">
      <c r="M69" s="427"/>
      <c r="R69" s="427"/>
      <c r="U69" s="97" t="s">
        <v>235</v>
      </c>
      <c r="V69" s="657">
        <v>568662</v>
      </c>
      <c r="W69" s="99"/>
      <c r="X69" s="99"/>
      <c r="Y69" s="680"/>
      <c r="Z69" s="99"/>
    </row>
    <row r="70" spans="13:26" ht="24.75" customHeight="1">
      <c r="M70" s="427"/>
      <c r="R70" s="427"/>
      <c r="U70" s="97" t="s">
        <v>236</v>
      </c>
      <c r="V70" s="657">
        <v>551405</v>
      </c>
      <c r="W70" s="99"/>
      <c r="X70" s="99"/>
      <c r="Y70" s="51"/>
      <c r="Z70" s="99"/>
    </row>
    <row r="71" spans="13:26" ht="24.75" customHeight="1">
      <c r="M71" s="427"/>
      <c r="R71" s="427"/>
      <c r="U71" s="3" t="s">
        <v>1321</v>
      </c>
      <c r="V71" s="658">
        <v>604253</v>
      </c>
      <c r="W71" s="99"/>
      <c r="X71" s="99"/>
      <c r="Y71" s="51"/>
      <c r="Z71" s="466"/>
    </row>
    <row r="72" spans="13:26" ht="24.75" customHeight="1">
      <c r="M72" s="427"/>
      <c r="R72" s="427"/>
      <c r="U72" s="3" t="s">
        <v>1323</v>
      </c>
      <c r="V72" s="658">
        <v>880569</v>
      </c>
      <c r="W72" s="99"/>
      <c r="X72" s="99"/>
      <c r="Y72" s="51"/>
      <c r="Z72" s="466"/>
    </row>
    <row r="73" spans="13:26" ht="24.75" customHeight="1">
      <c r="M73" s="427"/>
      <c r="R73" s="427"/>
      <c r="U73" s="3" t="s">
        <v>1200</v>
      </c>
      <c r="V73" s="658">
        <v>478728</v>
      </c>
      <c r="W73" s="99"/>
      <c r="X73" s="99"/>
      <c r="Y73" s="140"/>
      <c r="Z73" s="99"/>
    </row>
    <row r="74" spans="13:26" ht="24.75" customHeight="1">
      <c r="M74" s="427"/>
      <c r="R74" s="427"/>
      <c r="U74" s="3" t="s">
        <v>237</v>
      </c>
      <c r="V74" s="389">
        <v>410511</v>
      </c>
      <c r="W74" s="99"/>
      <c r="X74" s="99"/>
      <c r="Y74" s="51"/>
      <c r="Z74" s="99"/>
    </row>
    <row r="75" spans="13:26" ht="24.75" customHeight="1">
      <c r="M75" s="427"/>
      <c r="R75" s="427"/>
      <c r="V75" s="99"/>
      <c r="W75" s="99"/>
      <c r="X75" s="99"/>
      <c r="Y75" s="51"/>
      <c r="Z75" s="99"/>
    </row>
    <row r="76" spans="13:26" ht="24.75" customHeight="1">
      <c r="M76" s="427"/>
      <c r="R76" s="427"/>
      <c r="V76" s="99"/>
      <c r="W76" s="99"/>
      <c r="X76" s="99"/>
      <c r="Y76" s="140"/>
      <c r="Z76" s="99"/>
    </row>
    <row r="77" spans="13:26" ht="24.75" customHeight="1">
      <c r="M77" s="427"/>
      <c r="R77" s="427"/>
      <c r="V77" s="99"/>
      <c r="W77" s="99"/>
      <c r="X77" s="99"/>
      <c r="Y77" s="140"/>
      <c r="Z77" s="99"/>
    </row>
    <row r="78" spans="13:26" ht="24.75" customHeight="1">
      <c r="M78" s="427"/>
      <c r="R78" s="427"/>
      <c r="V78" s="99"/>
      <c r="W78" s="99"/>
      <c r="X78" s="99"/>
      <c r="Y78" s="51"/>
      <c r="Z78" s="99"/>
    </row>
    <row r="79" spans="13:26" ht="24.75" customHeight="1">
      <c r="M79" s="427"/>
      <c r="R79" s="427"/>
      <c r="V79" s="99"/>
      <c r="W79" s="99"/>
      <c r="X79" s="99"/>
      <c r="Y79" s="51"/>
      <c r="Z79" s="99"/>
    </row>
    <row r="80" spans="13:26" ht="24.75" customHeight="1">
      <c r="M80" s="427"/>
      <c r="R80" s="427"/>
      <c r="V80" s="99"/>
      <c r="W80" s="99"/>
      <c r="X80" s="99"/>
      <c r="Y80" s="99"/>
      <c r="Z80" s="99"/>
    </row>
    <row r="81" spans="13:26" ht="24.75" customHeight="1">
      <c r="M81" s="427"/>
      <c r="R81" s="427"/>
      <c r="V81" s="99"/>
      <c r="W81" s="99"/>
      <c r="X81" s="99"/>
      <c r="Y81" s="99"/>
      <c r="Z81" s="99"/>
    </row>
    <row r="82" spans="13:26" ht="24.75" customHeight="1">
      <c r="M82" s="427"/>
      <c r="R82" s="427"/>
      <c r="V82" s="99"/>
      <c r="W82" s="99"/>
      <c r="X82" s="99"/>
      <c r="Y82" s="99"/>
      <c r="Z82" s="99"/>
    </row>
    <row r="83" spans="13:26" ht="24.75" customHeight="1">
      <c r="M83" s="427"/>
      <c r="R83" s="427"/>
      <c r="V83" s="99"/>
      <c r="W83" s="99"/>
      <c r="X83" s="99"/>
      <c r="Y83" s="99"/>
      <c r="Z83" s="99"/>
    </row>
    <row r="84" spans="13:26" ht="24.75" customHeight="1">
      <c r="M84" s="427"/>
      <c r="R84" s="427"/>
      <c r="V84" s="99"/>
      <c r="W84" s="99"/>
      <c r="X84" s="99"/>
      <c r="Y84" s="99"/>
      <c r="Z84" s="99"/>
    </row>
    <row r="85" spans="13:26" ht="24.75" customHeight="1">
      <c r="M85" s="427"/>
      <c r="R85" s="427"/>
      <c r="V85" s="99"/>
      <c r="W85" s="99"/>
      <c r="X85" s="99"/>
      <c r="Y85" s="99"/>
      <c r="Z85" s="99"/>
    </row>
    <row r="86" spans="13:26" ht="24.75" customHeight="1">
      <c r="M86" s="427"/>
      <c r="R86" s="427"/>
      <c r="V86" s="99"/>
      <c r="W86" s="99"/>
      <c r="X86" s="99"/>
      <c r="Y86" s="99"/>
      <c r="Z86" s="99"/>
    </row>
    <row r="87" spans="13:26" ht="24.75" customHeight="1">
      <c r="M87" s="427"/>
      <c r="R87" s="427"/>
      <c r="V87" s="99"/>
      <c r="W87" s="99"/>
      <c r="X87" s="99"/>
      <c r="Y87" s="99"/>
      <c r="Z87" s="99"/>
    </row>
    <row r="88" spans="13:26" ht="24.75" customHeight="1">
      <c r="M88" s="427"/>
      <c r="R88" s="427"/>
      <c r="V88" s="99"/>
      <c r="W88" s="99"/>
      <c r="X88" s="99"/>
      <c r="Y88" s="99"/>
      <c r="Z88" s="99"/>
    </row>
    <row r="89" spans="13:26" ht="24.75" customHeight="1">
      <c r="M89" s="427"/>
      <c r="R89" s="427"/>
      <c r="V89" s="99"/>
      <c r="W89" s="99"/>
      <c r="X89" s="99"/>
      <c r="Y89" s="99"/>
      <c r="Z89" s="99"/>
    </row>
    <row r="90" spans="13:26" ht="24.75" customHeight="1">
      <c r="M90" s="427"/>
      <c r="R90" s="427"/>
      <c r="V90" s="99"/>
      <c r="W90" s="99"/>
      <c r="X90" s="99"/>
      <c r="Y90" s="99"/>
      <c r="Z90" s="99"/>
    </row>
    <row r="91" spans="13:26" ht="24.75" customHeight="1">
      <c r="M91" s="427"/>
      <c r="R91" s="427"/>
      <c r="V91" s="99"/>
      <c r="W91" s="99"/>
      <c r="X91" s="99"/>
      <c r="Y91" s="99"/>
      <c r="Z91" s="99"/>
    </row>
    <row r="92" spans="13:26" ht="24.75" customHeight="1">
      <c r="M92" s="427"/>
      <c r="R92" s="427"/>
      <c r="V92" s="99"/>
      <c r="W92" s="99"/>
      <c r="X92" s="99"/>
      <c r="Y92" s="99"/>
      <c r="Z92" s="99"/>
    </row>
    <row r="93" spans="13:26" ht="24.75" customHeight="1">
      <c r="M93" s="427"/>
      <c r="R93" s="427"/>
      <c r="V93" s="99"/>
      <c r="W93" s="99"/>
      <c r="X93" s="99"/>
      <c r="Y93" s="99"/>
      <c r="Z93" s="99"/>
    </row>
    <row r="94" spans="22:26" ht="24.75" customHeight="1">
      <c r="V94" s="99"/>
      <c r="W94" s="99"/>
      <c r="X94" s="99"/>
      <c r="Y94" s="99"/>
      <c r="Z94" s="99"/>
    </row>
    <row r="95" spans="22:26" ht="24.75" customHeight="1">
      <c r="V95" s="99"/>
      <c r="W95" s="99"/>
      <c r="X95" s="99"/>
      <c r="Y95" s="99"/>
      <c r="Z95" s="99"/>
    </row>
    <row r="96" spans="22:26" ht="24.75" customHeight="1">
      <c r="V96" s="99"/>
      <c r="W96" s="99"/>
      <c r="X96" s="99"/>
      <c r="Y96" s="99"/>
      <c r="Z96" s="99"/>
    </row>
    <row r="97" spans="22:26" ht="24.75" customHeight="1">
      <c r="V97" s="99"/>
      <c r="W97" s="99"/>
      <c r="X97" s="99"/>
      <c r="Y97" s="99"/>
      <c r="Z97" s="99"/>
    </row>
    <row r="98" spans="22:26" ht="24.75" customHeight="1">
      <c r="V98" s="99"/>
      <c r="W98" s="99"/>
      <c r="X98" s="99"/>
      <c r="Y98" s="99"/>
      <c r="Z98" s="99"/>
    </row>
    <row r="99" spans="22:26" ht="24.75" customHeight="1">
      <c r="V99" s="99"/>
      <c r="W99" s="99"/>
      <c r="X99" s="99"/>
      <c r="Y99" s="99"/>
      <c r="Z99" s="99"/>
    </row>
    <row r="100" spans="22:26" ht="24.75" customHeight="1">
      <c r="V100" s="99"/>
      <c r="W100" s="99"/>
      <c r="X100" s="99"/>
      <c r="Y100" s="99"/>
      <c r="Z100" s="99"/>
    </row>
    <row r="101" spans="22:26" ht="24.75" customHeight="1">
      <c r="V101" s="99"/>
      <c r="W101" s="99"/>
      <c r="X101" s="99"/>
      <c r="Y101" s="99"/>
      <c r="Z101" s="99"/>
    </row>
    <row r="102" spans="22:26" ht="24.75" customHeight="1">
      <c r="V102" s="99"/>
      <c r="W102" s="99"/>
      <c r="X102" s="99"/>
      <c r="Y102" s="99"/>
      <c r="Z102" s="99"/>
    </row>
    <row r="103" spans="22:26" ht="24.75" customHeight="1">
      <c r="V103" s="99"/>
      <c r="W103" s="99"/>
      <c r="X103" s="99"/>
      <c r="Y103" s="99"/>
      <c r="Z103" s="99"/>
    </row>
    <row r="104" spans="22:26" ht="24.75" customHeight="1">
      <c r="V104" s="99"/>
      <c r="W104" s="99"/>
      <c r="X104" s="99"/>
      <c r="Y104" s="99"/>
      <c r="Z104" s="99"/>
    </row>
    <row r="105" spans="22:26" ht="24.75" customHeight="1">
      <c r="V105" s="99"/>
      <c r="W105" s="99"/>
      <c r="X105" s="99"/>
      <c r="Y105" s="99"/>
      <c r="Z105" s="99"/>
    </row>
    <row r="106" spans="22:26" ht="24.75" customHeight="1">
      <c r="V106" s="99"/>
      <c r="W106" s="99"/>
      <c r="X106" s="99"/>
      <c r="Y106" s="99"/>
      <c r="Z106" s="99"/>
    </row>
    <row r="107" spans="22:26" ht="24.75" customHeight="1">
      <c r="V107" s="99"/>
      <c r="W107" s="99"/>
      <c r="X107" s="99"/>
      <c r="Y107" s="99"/>
      <c r="Z107" s="99"/>
    </row>
    <row r="108" spans="22:26" ht="24.75" customHeight="1">
      <c r="V108" s="99"/>
      <c r="W108" s="99"/>
      <c r="X108" s="99"/>
      <c r="Y108" s="99"/>
      <c r="Z108" s="99"/>
    </row>
    <row r="109" spans="22:26" ht="24.75" customHeight="1">
      <c r="V109" s="99"/>
      <c r="W109" s="99"/>
      <c r="X109" s="99"/>
      <c r="Y109" s="99"/>
      <c r="Z109" s="99"/>
    </row>
    <row r="110" spans="22:26" ht="24.75" customHeight="1">
      <c r="V110" s="99"/>
      <c r="W110" s="99"/>
      <c r="X110" s="99"/>
      <c r="Y110" s="99"/>
      <c r="Z110" s="99"/>
    </row>
    <row r="111" spans="22:26" ht="24.75" customHeight="1">
      <c r="V111" s="99"/>
      <c r="W111" s="99"/>
      <c r="X111" s="99"/>
      <c r="Y111" s="99"/>
      <c r="Z111" s="99"/>
    </row>
    <row r="112" spans="22:26" ht="24.75" customHeight="1">
      <c r="V112" s="99"/>
      <c r="W112" s="99"/>
      <c r="X112" s="99"/>
      <c r="Y112" s="99"/>
      <c r="Z112" s="99"/>
    </row>
    <row r="113" spans="22:26" ht="24.75" customHeight="1">
      <c r="V113" s="99"/>
      <c r="W113" s="99"/>
      <c r="X113" s="99"/>
      <c r="Y113" s="99"/>
      <c r="Z113" s="99"/>
    </row>
    <row r="114" spans="22:26" ht="24.75" customHeight="1">
      <c r="V114" s="99"/>
      <c r="W114" s="99"/>
      <c r="X114" s="99"/>
      <c r="Y114" s="99"/>
      <c r="Z114" s="99"/>
    </row>
    <row r="115" spans="22:26" ht="24.75" customHeight="1">
      <c r="V115" s="99"/>
      <c r="W115" s="99"/>
      <c r="X115" s="99"/>
      <c r="Y115" s="99"/>
      <c r="Z115" s="99"/>
    </row>
    <row r="116" spans="22:26" ht="24.75" customHeight="1">
      <c r="V116" s="99"/>
      <c r="W116" s="99"/>
      <c r="X116" s="99"/>
      <c r="Y116" s="99"/>
      <c r="Z116" s="99"/>
    </row>
    <row r="117" spans="22:26" ht="24.75" customHeight="1">
      <c r="V117" s="99"/>
      <c r="W117" s="99"/>
      <c r="X117" s="99"/>
      <c r="Y117" s="99"/>
      <c r="Z117" s="99"/>
    </row>
    <row r="237" ht="24.75" customHeight="1"/>
  </sheetData>
  <mergeCells count="33">
    <mergeCell ref="B60:J60"/>
    <mergeCell ref="L55:L56"/>
    <mergeCell ref="L57:L58"/>
    <mergeCell ref="L60:T60"/>
    <mergeCell ref="T55:T56"/>
    <mergeCell ref="S57:S58"/>
    <mergeCell ref="T57:T58"/>
    <mergeCell ref="R55:R56"/>
    <mergeCell ref="P55:P56"/>
    <mergeCell ref="M55:M56"/>
    <mergeCell ref="N55:N56"/>
    <mergeCell ref="R4:R5"/>
    <mergeCell ref="M57:M58"/>
    <mergeCell ref="N57:N58"/>
    <mergeCell ref="O57:O58"/>
    <mergeCell ref="O55:O56"/>
    <mergeCell ref="S2:T2"/>
    <mergeCell ref="P57:P58"/>
    <mergeCell ref="Q57:Q58"/>
    <mergeCell ref="R57:R58"/>
    <mergeCell ref="Q55:Q56"/>
    <mergeCell ref="S55:S56"/>
    <mergeCell ref="R3:T3"/>
    <mergeCell ref="B2:J4"/>
    <mergeCell ref="L1:T1"/>
    <mergeCell ref="L3:L5"/>
    <mergeCell ref="T4:T5"/>
    <mergeCell ref="M4:M5"/>
    <mergeCell ref="N4:O4"/>
    <mergeCell ref="P4:Q4"/>
    <mergeCell ref="S4:S5"/>
    <mergeCell ref="B1:J1"/>
    <mergeCell ref="M3:Q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showGridLines="0" zoomScaleSheetLayoutView="100" workbookViewId="0" topLeftCell="A19">
      <selection activeCell="H90" sqref="H90"/>
    </sheetView>
  </sheetViews>
  <sheetFormatPr defaultColWidth="9.00390625" defaultRowHeight="16.5"/>
  <cols>
    <col min="1" max="1" width="2.625" style="3" customWidth="1"/>
    <col min="2" max="8" width="8.625" style="3" customWidth="1"/>
    <col min="9" max="9" width="9.375" style="3" customWidth="1"/>
    <col min="10" max="10" width="8.75390625" style="3" customWidth="1"/>
    <col min="11" max="11" width="9.00390625" style="3" customWidth="1"/>
    <col min="12" max="12" width="2.625" style="3" customWidth="1"/>
    <col min="13" max="16384" width="9.00390625" style="3" customWidth="1"/>
  </cols>
  <sheetData>
    <row r="1" spans="1:12" s="190" customFormat="1" ht="49.5" customHeight="1">
      <c r="A1" s="869" t="s">
        <v>588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</row>
    <row r="2" spans="2:12" ht="58.5" customHeight="1">
      <c r="B2" s="871" t="s">
        <v>589</v>
      </c>
      <c r="C2" s="854"/>
      <c r="D2" s="854"/>
      <c r="E2" s="854"/>
      <c r="F2" s="854"/>
      <c r="G2" s="854"/>
      <c r="H2" s="854"/>
      <c r="I2" s="854"/>
      <c r="J2" s="854"/>
      <c r="K2" s="854"/>
      <c r="L2" s="143"/>
    </row>
    <row r="3" spans="1:12" ht="17.25" customHeight="1">
      <c r="A3" s="897" t="s">
        <v>590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</row>
    <row r="4" spans="1:12" ht="21" customHeight="1" thickBot="1">
      <c r="A4" s="898" t="s">
        <v>591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</row>
    <row r="5" spans="2:11" ht="19.5" customHeight="1">
      <c r="B5" s="860" t="s">
        <v>592</v>
      </c>
      <c r="C5" s="105" t="s">
        <v>593</v>
      </c>
      <c r="D5" s="867" t="s">
        <v>594</v>
      </c>
      <c r="E5" s="867" t="s">
        <v>595</v>
      </c>
      <c r="F5" s="856" t="s">
        <v>596</v>
      </c>
      <c r="G5" s="857"/>
      <c r="H5" s="858"/>
      <c r="I5" s="867" t="s">
        <v>597</v>
      </c>
      <c r="J5" s="867" t="s">
        <v>598</v>
      </c>
      <c r="K5" s="106" t="s">
        <v>599</v>
      </c>
    </row>
    <row r="6" spans="2:11" ht="19.5" customHeight="1">
      <c r="B6" s="861"/>
      <c r="C6" s="107" t="s">
        <v>1330</v>
      </c>
      <c r="D6" s="868"/>
      <c r="E6" s="868"/>
      <c r="F6" s="859" t="s">
        <v>600</v>
      </c>
      <c r="G6" s="849"/>
      <c r="H6" s="850"/>
      <c r="I6" s="868"/>
      <c r="J6" s="868"/>
      <c r="K6" s="109" t="s">
        <v>1331</v>
      </c>
    </row>
    <row r="7" spans="2:11" ht="19.5" customHeight="1">
      <c r="B7" s="861"/>
      <c r="C7" s="118" t="s">
        <v>602</v>
      </c>
      <c r="D7" s="868"/>
      <c r="E7" s="868"/>
      <c r="F7" s="851" t="s">
        <v>603</v>
      </c>
      <c r="G7" s="872" t="s">
        <v>604</v>
      </c>
      <c r="H7" s="872" t="s">
        <v>605</v>
      </c>
      <c r="I7" s="848" t="s">
        <v>607</v>
      </c>
      <c r="J7" s="195" t="s">
        <v>609</v>
      </c>
      <c r="K7" s="195" t="s">
        <v>611</v>
      </c>
    </row>
    <row r="8" spans="2:11" ht="15.75" customHeight="1">
      <c r="B8" s="874" t="s">
        <v>612</v>
      </c>
      <c r="C8" s="862" t="s">
        <v>614</v>
      </c>
      <c r="D8" s="865" t="s">
        <v>615</v>
      </c>
      <c r="E8" s="865" t="s">
        <v>616</v>
      </c>
      <c r="F8" s="868"/>
      <c r="G8" s="873"/>
      <c r="H8" s="873"/>
      <c r="I8" s="841"/>
      <c r="J8" s="865" t="s">
        <v>617</v>
      </c>
      <c r="K8" s="846" t="s">
        <v>619</v>
      </c>
    </row>
    <row r="9" spans="2:11" ht="19.5" customHeight="1">
      <c r="B9" s="874"/>
      <c r="C9" s="863"/>
      <c r="D9" s="865"/>
      <c r="E9" s="865"/>
      <c r="F9" s="852" t="s">
        <v>1332</v>
      </c>
      <c r="G9" s="852" t="s">
        <v>620</v>
      </c>
      <c r="H9" s="852" t="s">
        <v>621</v>
      </c>
      <c r="I9" s="865" t="s">
        <v>622</v>
      </c>
      <c r="J9" s="865"/>
      <c r="K9" s="846"/>
    </row>
    <row r="10" spans="2:11" ht="30" customHeight="1" thickBot="1">
      <c r="B10" s="875"/>
      <c r="C10" s="864"/>
      <c r="D10" s="866"/>
      <c r="E10" s="855"/>
      <c r="F10" s="853"/>
      <c r="G10" s="845"/>
      <c r="H10" s="845"/>
      <c r="I10" s="855"/>
      <c r="J10" s="855"/>
      <c r="K10" s="847"/>
    </row>
    <row r="11" spans="2:11" ht="24.75" customHeight="1" hidden="1">
      <c r="B11" s="111" t="s">
        <v>623</v>
      </c>
      <c r="C11" s="152">
        <v>2137.4615</v>
      </c>
      <c r="D11" s="153">
        <v>235</v>
      </c>
      <c r="E11" s="154">
        <v>108942</v>
      </c>
      <c r="F11" s="154">
        <f>SUM(G11:H11)</f>
        <v>462509</v>
      </c>
      <c r="G11" s="154">
        <v>240260</v>
      </c>
      <c r="H11" s="154">
        <v>222249</v>
      </c>
      <c r="I11" s="141">
        <f>(G11/H11)*100</f>
        <v>108.10397347119671</v>
      </c>
      <c r="J11" s="141">
        <f>(F11/E11)</f>
        <v>4.245460887444695</v>
      </c>
      <c r="K11" s="139">
        <f>(F11/C11)</f>
        <v>216.3823769457368</v>
      </c>
    </row>
    <row r="12" spans="2:11" ht="20.25" customHeight="1" hidden="1">
      <c r="B12" s="112" t="s">
        <v>624</v>
      </c>
      <c r="C12" s="152">
        <v>2137.4615</v>
      </c>
      <c r="D12" s="153">
        <v>235</v>
      </c>
      <c r="E12" s="154">
        <v>111928</v>
      </c>
      <c r="F12" s="154">
        <f>SUM(G12:H12)</f>
        <v>464359</v>
      </c>
      <c r="G12" s="154">
        <v>240698</v>
      </c>
      <c r="H12" s="154">
        <v>223661</v>
      </c>
      <c r="I12" s="141">
        <f>(G12/H12)*100</f>
        <v>107.61733158664228</v>
      </c>
      <c r="J12" s="141">
        <f>(F12/E12)</f>
        <v>4.148729540418841</v>
      </c>
      <c r="K12" s="139">
        <f>(F12/C12)</f>
        <v>217.24788961111113</v>
      </c>
    </row>
    <row r="13" spans="2:11" ht="22.5" customHeight="1" hidden="1">
      <c r="B13" s="112" t="s">
        <v>625</v>
      </c>
      <c r="C13" s="152">
        <v>2137.4615</v>
      </c>
      <c r="D13" s="153">
        <v>235</v>
      </c>
      <c r="E13" s="154">
        <v>116220</v>
      </c>
      <c r="F13" s="154">
        <f>SUM(G13:H13)</f>
        <v>465043</v>
      </c>
      <c r="G13" s="154">
        <v>241017</v>
      </c>
      <c r="H13" s="154">
        <v>224026</v>
      </c>
      <c r="I13" s="141">
        <f>(G13/H13)*100</f>
        <v>107.58438752644783</v>
      </c>
      <c r="J13" s="141">
        <f>(F13/E13)</f>
        <v>4.001402512476338</v>
      </c>
      <c r="K13" s="139">
        <f>(F13/C13)</f>
        <v>217.56789537495763</v>
      </c>
    </row>
    <row r="14" spans="2:11" ht="22.5" customHeight="1" hidden="1">
      <c r="B14" s="112" t="s">
        <v>626</v>
      </c>
      <c r="C14" s="152">
        <v>2137.4615</v>
      </c>
      <c r="D14" s="153">
        <v>235</v>
      </c>
      <c r="E14" s="154">
        <v>120022</v>
      </c>
      <c r="F14" s="154">
        <f>SUM(G14:H14)</f>
        <v>465120</v>
      </c>
      <c r="G14" s="154">
        <v>241321</v>
      </c>
      <c r="H14" s="154">
        <v>223799</v>
      </c>
      <c r="I14" s="141">
        <f>(G14/H14)*100</f>
        <v>107.82934686928895</v>
      </c>
      <c r="J14" s="141">
        <f>(F14/E14)</f>
        <v>3.875289530252787</v>
      </c>
      <c r="K14" s="139">
        <f>(F14/C14)</f>
        <v>217.60391941562457</v>
      </c>
    </row>
    <row r="15" spans="2:11" ht="9.75" customHeight="1" hidden="1">
      <c r="B15" s="122"/>
      <c r="C15" s="152"/>
      <c r="D15" s="153"/>
      <c r="E15" s="154"/>
      <c r="F15" s="154"/>
      <c r="G15" s="154"/>
      <c r="H15" s="154"/>
      <c r="I15" s="141"/>
      <c r="J15" s="141"/>
      <c r="K15" s="139"/>
    </row>
    <row r="16" spans="2:11" ht="22.5" customHeight="1" hidden="1">
      <c r="B16" s="112" t="s">
        <v>627</v>
      </c>
      <c r="C16" s="155">
        <v>2143.6251</v>
      </c>
      <c r="D16" s="153">
        <v>235</v>
      </c>
      <c r="E16" s="154">
        <v>123962</v>
      </c>
      <c r="F16" s="154">
        <f aca="true" t="shared" si="0" ref="F16:F25">SUM(G16:H16)</f>
        <v>466603</v>
      </c>
      <c r="G16" s="154">
        <v>241958</v>
      </c>
      <c r="H16" s="154">
        <v>224645</v>
      </c>
      <c r="I16" s="141">
        <f aca="true" t="shared" si="1" ref="I16:I25">(G16/H16)*100</f>
        <v>107.70682632598098</v>
      </c>
      <c r="J16" s="141">
        <f aca="true" t="shared" si="2" ref="J16:J25">(F16/E16)</f>
        <v>3.7640809280263308</v>
      </c>
      <c r="K16" s="139">
        <f aca="true" t="shared" si="3" ref="K16:K25">(F16/C16)</f>
        <v>217.67005807125506</v>
      </c>
    </row>
    <row r="17" spans="2:11" ht="22.5" customHeight="1" hidden="1">
      <c r="B17" s="112" t="s">
        <v>628</v>
      </c>
      <c r="C17" s="155">
        <v>2143.6251</v>
      </c>
      <c r="D17" s="153">
        <v>235</v>
      </c>
      <c r="E17" s="154">
        <v>127466</v>
      </c>
      <c r="F17" s="154">
        <f t="shared" si="0"/>
        <v>465627</v>
      </c>
      <c r="G17" s="154">
        <v>241261</v>
      </c>
      <c r="H17" s="154">
        <v>224366</v>
      </c>
      <c r="I17" s="141">
        <f t="shared" si="1"/>
        <v>107.53010705721901</v>
      </c>
      <c r="J17" s="141">
        <f t="shared" si="2"/>
        <v>3.6529505907457676</v>
      </c>
      <c r="K17" s="139">
        <f t="shared" si="3"/>
        <v>217.21475457625493</v>
      </c>
    </row>
    <row r="18" spans="2:11" ht="19.5" customHeight="1" hidden="1">
      <c r="B18" s="112" t="s">
        <v>629</v>
      </c>
      <c r="C18" s="155">
        <v>2143.6251</v>
      </c>
      <c r="D18" s="153">
        <v>235</v>
      </c>
      <c r="E18" s="154">
        <v>130059</v>
      </c>
      <c r="F18" s="154">
        <f t="shared" si="0"/>
        <v>465004</v>
      </c>
      <c r="G18" s="154">
        <v>240727</v>
      </c>
      <c r="H18" s="154">
        <v>224277</v>
      </c>
      <c r="I18" s="141">
        <f t="shared" si="1"/>
        <v>107.33467988246676</v>
      </c>
      <c r="J18" s="141">
        <f t="shared" si="2"/>
        <v>3.575331195841887</v>
      </c>
      <c r="K18" s="139">
        <f t="shared" si="3"/>
        <v>216.9241253986063</v>
      </c>
    </row>
    <row r="19" spans="2:11" ht="19.5" customHeight="1">
      <c r="B19" s="112" t="s">
        <v>630</v>
      </c>
      <c r="C19" s="155">
        <v>2143.6251</v>
      </c>
      <c r="D19" s="153">
        <v>235</v>
      </c>
      <c r="E19" s="154">
        <v>133143</v>
      </c>
      <c r="F19" s="154">
        <f t="shared" si="0"/>
        <v>465186</v>
      </c>
      <c r="G19" s="154">
        <v>240691</v>
      </c>
      <c r="H19" s="154">
        <v>224495</v>
      </c>
      <c r="I19" s="141">
        <f t="shared" si="1"/>
        <v>107.21441457493486</v>
      </c>
      <c r="J19" s="141">
        <f t="shared" si="2"/>
        <v>3.4938825172934362</v>
      </c>
      <c r="K19" s="139">
        <f t="shared" si="3"/>
        <v>217.00902830443624</v>
      </c>
    </row>
    <row r="20" spans="2:11" ht="19.5" customHeight="1">
      <c r="B20" s="112" t="s">
        <v>631</v>
      </c>
      <c r="C20" s="155">
        <v>2143.6251</v>
      </c>
      <c r="D20" s="153">
        <v>237</v>
      </c>
      <c r="E20" s="154">
        <v>134568</v>
      </c>
      <c r="F20" s="154">
        <f t="shared" si="0"/>
        <v>465799</v>
      </c>
      <c r="G20" s="154">
        <v>240529</v>
      </c>
      <c r="H20" s="154">
        <v>225270</v>
      </c>
      <c r="I20" s="141">
        <f t="shared" si="1"/>
        <v>106.77364939849959</v>
      </c>
      <c r="J20" s="141">
        <f t="shared" si="2"/>
        <v>3.461439569585637</v>
      </c>
      <c r="K20" s="139">
        <f t="shared" si="3"/>
        <v>217.29499248725907</v>
      </c>
    </row>
    <row r="21" spans="2:11" ht="19.5" customHeight="1">
      <c r="B21" s="112" t="s">
        <v>632</v>
      </c>
      <c r="C21" s="155">
        <v>2143.6251</v>
      </c>
      <c r="D21" s="153">
        <v>237</v>
      </c>
      <c r="E21" s="154">
        <v>135914</v>
      </c>
      <c r="F21" s="154">
        <f t="shared" si="0"/>
        <v>464107</v>
      </c>
      <c r="G21" s="154">
        <v>239410</v>
      </c>
      <c r="H21" s="154">
        <v>224697</v>
      </c>
      <c r="I21" s="141">
        <f t="shared" si="1"/>
        <v>106.54792898881604</v>
      </c>
      <c r="J21" s="141">
        <f t="shared" si="2"/>
        <v>3.4147107729888018</v>
      </c>
      <c r="K21" s="139">
        <f t="shared" si="3"/>
        <v>216.50567536273016</v>
      </c>
    </row>
    <row r="22" spans="2:11" ht="21.75" customHeight="1" hidden="1">
      <c r="B22" s="112" t="s">
        <v>633</v>
      </c>
      <c r="C22" s="155">
        <v>2143.6251</v>
      </c>
      <c r="D22" s="153">
        <v>237</v>
      </c>
      <c r="E22" s="154">
        <v>134669</v>
      </c>
      <c r="F22" s="154">
        <f t="shared" si="0"/>
        <v>466015</v>
      </c>
      <c r="G22" s="154">
        <v>240495</v>
      </c>
      <c r="H22" s="154">
        <v>225520</v>
      </c>
      <c r="I22" s="141">
        <f t="shared" si="1"/>
        <v>106.64020929407592</v>
      </c>
      <c r="J22" s="141">
        <f t="shared" si="2"/>
        <v>3.460447467494375</v>
      </c>
      <c r="K22" s="139">
        <f t="shared" si="3"/>
        <v>217.3957563754968</v>
      </c>
    </row>
    <row r="23" spans="2:11" ht="21.75" customHeight="1" hidden="1">
      <c r="B23" s="112" t="s">
        <v>634</v>
      </c>
      <c r="C23" s="155">
        <v>2143.6251</v>
      </c>
      <c r="D23" s="153">
        <v>237</v>
      </c>
      <c r="E23" s="154">
        <v>134990</v>
      </c>
      <c r="F23" s="154">
        <f t="shared" si="0"/>
        <v>465150</v>
      </c>
      <c r="G23" s="154">
        <v>240026</v>
      </c>
      <c r="H23" s="154">
        <v>225124</v>
      </c>
      <c r="I23" s="141">
        <f t="shared" si="1"/>
        <v>106.61946305147384</v>
      </c>
      <c r="J23" s="141">
        <f t="shared" si="2"/>
        <v>3.4458108008000594</v>
      </c>
      <c r="K23" s="139">
        <f t="shared" si="3"/>
        <v>216.9922343230633</v>
      </c>
    </row>
    <row r="24" spans="2:11" ht="21.75" customHeight="1" hidden="1">
      <c r="B24" s="112" t="s">
        <v>635</v>
      </c>
      <c r="C24" s="155">
        <v>2143.6251</v>
      </c>
      <c r="D24" s="153">
        <v>237</v>
      </c>
      <c r="E24" s="154">
        <v>135562</v>
      </c>
      <c r="F24" s="154">
        <f t="shared" si="0"/>
        <v>464453</v>
      </c>
      <c r="G24" s="154">
        <v>239600</v>
      </c>
      <c r="H24" s="154">
        <v>224853</v>
      </c>
      <c r="I24" s="141">
        <f t="shared" si="1"/>
        <v>106.55850711353641</v>
      </c>
      <c r="J24" s="141">
        <f t="shared" si="2"/>
        <v>3.426129741372951</v>
      </c>
      <c r="K24" s="139">
        <f t="shared" si="3"/>
        <v>216.66708418370357</v>
      </c>
    </row>
    <row r="25" spans="2:11" ht="21.75" customHeight="1" hidden="1">
      <c r="B25" s="112" t="s">
        <v>636</v>
      </c>
      <c r="C25" s="155">
        <v>2143.6251</v>
      </c>
      <c r="D25" s="153">
        <v>237</v>
      </c>
      <c r="E25" s="154">
        <v>135914</v>
      </c>
      <c r="F25" s="154">
        <f t="shared" si="0"/>
        <v>464107</v>
      </c>
      <c r="G25" s="154">
        <v>239410</v>
      </c>
      <c r="H25" s="154">
        <v>224697</v>
      </c>
      <c r="I25" s="141">
        <f t="shared" si="1"/>
        <v>106.54792898881604</v>
      </c>
      <c r="J25" s="141">
        <f t="shared" si="2"/>
        <v>3.4147107729888018</v>
      </c>
      <c r="K25" s="139">
        <f t="shared" si="3"/>
        <v>216.50567536273016</v>
      </c>
    </row>
    <row r="26" spans="2:11" ht="21.75" customHeight="1" hidden="1">
      <c r="B26" s="156"/>
      <c r="C26" s="155"/>
      <c r="D26" s="153"/>
      <c r="E26" s="153"/>
      <c r="F26" s="153"/>
      <c r="G26" s="153"/>
      <c r="H26" s="153"/>
      <c r="I26" s="154"/>
      <c r="J26" s="153"/>
      <c r="K26" s="153"/>
    </row>
    <row r="27" spans="2:11" ht="19.5" customHeight="1">
      <c r="B27" s="112" t="s">
        <v>637</v>
      </c>
      <c r="C27" s="155">
        <v>2143.6251</v>
      </c>
      <c r="D27" s="158">
        <v>237</v>
      </c>
      <c r="E27" s="154">
        <f aca="true" t="shared" si="4" ref="E27:K27">E34</f>
        <v>137921</v>
      </c>
      <c r="F27" s="154">
        <f t="shared" si="4"/>
        <v>463285</v>
      </c>
      <c r="G27" s="154">
        <f t="shared" si="4"/>
        <v>238839</v>
      </c>
      <c r="H27" s="154">
        <f t="shared" si="4"/>
        <v>224446</v>
      </c>
      <c r="I27" s="141">
        <f t="shared" si="4"/>
        <v>106.41</v>
      </c>
      <c r="J27" s="141">
        <f t="shared" si="4"/>
        <v>3.36</v>
      </c>
      <c r="K27" s="139">
        <f t="shared" si="4"/>
        <v>216</v>
      </c>
    </row>
    <row r="28" spans="2:11" ht="12.75" customHeight="1" hidden="1">
      <c r="B28" s="112" t="s">
        <v>638</v>
      </c>
      <c r="C28" s="883">
        <v>2143.6251</v>
      </c>
      <c r="D28" s="900">
        <v>237</v>
      </c>
      <c r="E28" s="900">
        <v>136251</v>
      </c>
      <c r="F28" s="900">
        <f>SUM(G28:H28)</f>
        <v>463954</v>
      </c>
      <c r="G28" s="900">
        <v>239296</v>
      </c>
      <c r="H28" s="900">
        <v>224658</v>
      </c>
      <c r="I28" s="881">
        <f>(G28/H28)*100</f>
        <v>106.51568161383081</v>
      </c>
      <c r="J28" s="881">
        <f>(F28/E28)</f>
        <v>3.405141980609317</v>
      </c>
      <c r="K28" s="900">
        <v>216</v>
      </c>
    </row>
    <row r="29" spans="2:11" ht="12.75" customHeight="1" hidden="1">
      <c r="B29" s="122" t="s">
        <v>1333</v>
      </c>
      <c r="C29" s="883"/>
      <c r="D29" s="900"/>
      <c r="E29" s="900"/>
      <c r="F29" s="900"/>
      <c r="G29" s="900"/>
      <c r="H29" s="900"/>
      <c r="I29" s="881"/>
      <c r="J29" s="881"/>
      <c r="K29" s="900"/>
    </row>
    <row r="30" spans="2:11" ht="12.75" customHeight="1" hidden="1">
      <c r="B30" s="112" t="s">
        <v>639</v>
      </c>
      <c r="C30" s="883">
        <v>2143.6251</v>
      </c>
      <c r="D30" s="900">
        <v>237</v>
      </c>
      <c r="E30" s="900">
        <v>136750</v>
      </c>
      <c r="F30" s="900">
        <f>SUM(G30:H30)</f>
        <v>463606</v>
      </c>
      <c r="G30" s="900">
        <v>239043</v>
      </c>
      <c r="H30" s="900">
        <v>224563</v>
      </c>
      <c r="I30" s="881">
        <f>(G30/H30)*100</f>
        <v>106.44807915818724</v>
      </c>
      <c r="J30" s="881">
        <f>(F30/E30)</f>
        <v>3.3901718464351007</v>
      </c>
      <c r="K30" s="900">
        <v>216</v>
      </c>
    </row>
    <row r="31" spans="2:11" ht="12.75" customHeight="1" hidden="1">
      <c r="B31" s="122" t="s">
        <v>1334</v>
      </c>
      <c r="C31" s="883"/>
      <c r="D31" s="900"/>
      <c r="E31" s="900"/>
      <c r="F31" s="900"/>
      <c r="G31" s="900"/>
      <c r="H31" s="900"/>
      <c r="I31" s="881"/>
      <c r="J31" s="881"/>
      <c r="K31" s="900"/>
    </row>
    <row r="32" spans="2:11" ht="12.75" customHeight="1" hidden="1">
      <c r="B32" s="112" t="s">
        <v>640</v>
      </c>
      <c r="C32" s="883">
        <v>2143.6251</v>
      </c>
      <c r="D32" s="900">
        <v>237</v>
      </c>
      <c r="E32" s="900">
        <v>137377</v>
      </c>
      <c r="F32" s="900">
        <f>SUM(G32:H32)</f>
        <v>463325</v>
      </c>
      <c r="G32" s="900">
        <v>238861</v>
      </c>
      <c r="H32" s="900">
        <v>224464</v>
      </c>
      <c r="I32" s="881">
        <v>106.41</v>
      </c>
      <c r="J32" s="881">
        <v>3.37</v>
      </c>
      <c r="K32" s="900">
        <v>216</v>
      </c>
    </row>
    <row r="33" spans="2:11" ht="12.75" customHeight="1" hidden="1">
      <c r="B33" s="122" t="s">
        <v>1335</v>
      </c>
      <c r="C33" s="883"/>
      <c r="D33" s="900"/>
      <c r="E33" s="900"/>
      <c r="F33" s="900"/>
      <c r="G33" s="900"/>
      <c r="H33" s="900"/>
      <c r="I33" s="881"/>
      <c r="J33" s="881"/>
      <c r="K33" s="900"/>
    </row>
    <row r="34" spans="2:11" ht="12.75" customHeight="1" hidden="1">
      <c r="B34" s="112" t="s">
        <v>641</v>
      </c>
      <c r="C34" s="883">
        <v>2143.6251</v>
      </c>
      <c r="D34" s="900">
        <v>237</v>
      </c>
      <c r="E34" s="900">
        <v>137921</v>
      </c>
      <c r="F34" s="900">
        <f>SUM(G34:H34)</f>
        <v>463285</v>
      </c>
      <c r="G34" s="900">
        <v>238839</v>
      </c>
      <c r="H34" s="900">
        <v>224446</v>
      </c>
      <c r="I34" s="881">
        <v>106.41</v>
      </c>
      <c r="J34" s="881">
        <v>3.36</v>
      </c>
      <c r="K34" s="900">
        <v>216</v>
      </c>
    </row>
    <row r="35" spans="2:11" ht="12.75" customHeight="1" hidden="1">
      <c r="B35" s="122" t="s">
        <v>1336</v>
      </c>
      <c r="C35" s="884"/>
      <c r="D35" s="885"/>
      <c r="E35" s="885"/>
      <c r="F35" s="885"/>
      <c r="G35" s="885"/>
      <c r="H35" s="885"/>
      <c r="I35" s="876"/>
      <c r="J35" s="876"/>
      <c r="K35" s="885"/>
    </row>
    <row r="36" spans="2:11" ht="19.5" customHeight="1">
      <c r="B36" s="112" t="s">
        <v>642</v>
      </c>
      <c r="C36" s="155">
        <v>2143.6251</v>
      </c>
      <c r="D36" s="158">
        <f aca="true" t="shared" si="5" ref="D36:K36">D43</f>
        <v>237</v>
      </c>
      <c r="E36" s="158">
        <f t="shared" si="5"/>
        <v>141006</v>
      </c>
      <c r="F36" s="158">
        <f t="shared" si="5"/>
        <v>462286</v>
      </c>
      <c r="G36" s="158">
        <f t="shared" si="5"/>
        <v>238153</v>
      </c>
      <c r="H36" s="158">
        <f t="shared" si="5"/>
        <v>224133</v>
      </c>
      <c r="I36" s="161">
        <f t="shared" si="5"/>
        <v>106.26</v>
      </c>
      <c r="J36" s="161">
        <f t="shared" si="5"/>
        <v>3.28</v>
      </c>
      <c r="K36" s="162">
        <f t="shared" si="5"/>
        <v>216</v>
      </c>
    </row>
    <row r="37" spans="2:11" ht="12.75" customHeight="1" hidden="1">
      <c r="B37" s="112" t="s">
        <v>643</v>
      </c>
      <c r="C37" s="883">
        <v>2143.6251</v>
      </c>
      <c r="D37" s="900">
        <v>237</v>
      </c>
      <c r="E37" s="900">
        <v>138280</v>
      </c>
      <c r="F37" s="900">
        <f>SUM(G37:H37)</f>
        <v>462758</v>
      </c>
      <c r="G37" s="900">
        <v>238543</v>
      </c>
      <c r="H37" s="900">
        <v>224215</v>
      </c>
      <c r="I37" s="881">
        <v>106.39</v>
      </c>
      <c r="J37" s="881">
        <v>3.35</v>
      </c>
      <c r="K37" s="900">
        <v>216</v>
      </c>
    </row>
    <row r="38" spans="2:11" ht="12.75" customHeight="1" hidden="1">
      <c r="B38" s="122" t="s">
        <v>1333</v>
      </c>
      <c r="C38" s="884"/>
      <c r="D38" s="885"/>
      <c r="E38" s="885"/>
      <c r="F38" s="885"/>
      <c r="G38" s="885"/>
      <c r="H38" s="885"/>
      <c r="I38" s="876"/>
      <c r="J38" s="876"/>
      <c r="K38" s="885"/>
    </row>
    <row r="39" spans="2:11" ht="12.75" customHeight="1" hidden="1">
      <c r="B39" s="112" t="s">
        <v>644</v>
      </c>
      <c r="C39" s="883">
        <v>2143.6251</v>
      </c>
      <c r="D39" s="900">
        <v>237</v>
      </c>
      <c r="E39" s="900">
        <v>139196</v>
      </c>
      <c r="F39" s="900">
        <f>SUM(G39:H39)</f>
        <v>462313</v>
      </c>
      <c r="G39" s="900">
        <v>238276</v>
      </c>
      <c r="H39" s="900">
        <v>224037</v>
      </c>
      <c r="I39" s="881">
        <v>106.36</v>
      </c>
      <c r="J39" s="881">
        <v>3.32</v>
      </c>
      <c r="K39" s="900">
        <v>216</v>
      </c>
    </row>
    <row r="40" spans="2:11" ht="12.75" customHeight="1" hidden="1">
      <c r="B40" s="122" t="s">
        <v>1334</v>
      </c>
      <c r="C40" s="884"/>
      <c r="D40" s="885"/>
      <c r="E40" s="885"/>
      <c r="F40" s="885"/>
      <c r="G40" s="885"/>
      <c r="H40" s="885"/>
      <c r="I40" s="876"/>
      <c r="J40" s="876"/>
      <c r="K40" s="885"/>
    </row>
    <row r="41" spans="2:11" ht="12.75" customHeight="1" hidden="1">
      <c r="B41" s="112" t="s">
        <v>645</v>
      </c>
      <c r="C41" s="883">
        <v>2143.6251</v>
      </c>
      <c r="D41" s="900">
        <v>237</v>
      </c>
      <c r="E41" s="900">
        <v>140434</v>
      </c>
      <c r="F41" s="900">
        <f>SUM(G41:H41)</f>
        <v>462232</v>
      </c>
      <c r="G41" s="900">
        <v>238147</v>
      </c>
      <c r="H41" s="900">
        <v>224085</v>
      </c>
      <c r="I41" s="881">
        <v>106.28</v>
      </c>
      <c r="J41" s="881">
        <v>3.29</v>
      </c>
      <c r="K41" s="900">
        <v>216</v>
      </c>
    </row>
    <row r="42" spans="2:11" ht="12.75" customHeight="1" hidden="1">
      <c r="B42" s="122" t="s">
        <v>1335</v>
      </c>
      <c r="C42" s="884"/>
      <c r="D42" s="885"/>
      <c r="E42" s="885"/>
      <c r="F42" s="885"/>
      <c r="G42" s="885"/>
      <c r="H42" s="885"/>
      <c r="I42" s="876"/>
      <c r="J42" s="876"/>
      <c r="K42" s="885"/>
    </row>
    <row r="43" spans="2:11" ht="12.75" customHeight="1" hidden="1">
      <c r="B43" s="112" t="s">
        <v>646</v>
      </c>
      <c r="C43" s="883">
        <v>2143.6251</v>
      </c>
      <c r="D43" s="900">
        <v>237</v>
      </c>
      <c r="E43" s="900">
        <v>141006</v>
      </c>
      <c r="F43" s="900">
        <f>SUM(G43:H43)</f>
        <v>462286</v>
      </c>
      <c r="G43" s="900">
        <v>238153</v>
      </c>
      <c r="H43" s="900">
        <v>224133</v>
      </c>
      <c r="I43" s="881">
        <v>106.26</v>
      </c>
      <c r="J43" s="881">
        <v>3.28</v>
      </c>
      <c r="K43" s="900">
        <v>216</v>
      </c>
    </row>
    <row r="44" spans="2:11" ht="12.75" customHeight="1" hidden="1">
      <c r="B44" s="122" t="s">
        <v>1336</v>
      </c>
      <c r="C44" s="884"/>
      <c r="D44" s="885"/>
      <c r="E44" s="885"/>
      <c r="F44" s="885"/>
      <c r="G44" s="885"/>
      <c r="H44" s="885"/>
      <c r="I44" s="876" t="e">
        <f>(G44/H44)*100</f>
        <v>#DIV/0!</v>
      </c>
      <c r="J44" s="876" t="e">
        <f>(F44/E44)</f>
        <v>#DIV/0!</v>
      </c>
      <c r="K44" s="885" t="e">
        <f>(F44/C44)</f>
        <v>#DIV/0!</v>
      </c>
    </row>
    <row r="45" spans="2:11" ht="19.5" customHeight="1">
      <c r="B45" s="112" t="s">
        <v>647</v>
      </c>
      <c r="C45" s="155">
        <v>2143.6251</v>
      </c>
      <c r="D45" s="158">
        <v>237</v>
      </c>
      <c r="E45" s="158">
        <v>142776</v>
      </c>
      <c r="F45" s="158">
        <f>SUM(G45:H45)</f>
        <v>461586</v>
      </c>
      <c r="G45" s="158">
        <v>237326</v>
      </c>
      <c r="H45" s="158">
        <v>224260</v>
      </c>
      <c r="I45" s="161">
        <v>105.83</v>
      </c>
      <c r="J45" s="161">
        <v>3.23</v>
      </c>
      <c r="K45" s="158">
        <v>215</v>
      </c>
    </row>
    <row r="46" spans="2:11" ht="12.75" customHeight="1" hidden="1">
      <c r="B46" s="112" t="s">
        <v>643</v>
      </c>
      <c r="C46" s="883">
        <v>2143.6251</v>
      </c>
      <c r="D46" s="900">
        <v>237</v>
      </c>
      <c r="E46" s="900">
        <v>141319</v>
      </c>
      <c r="F46" s="900">
        <f>SUM(G46:H46)</f>
        <v>461978</v>
      </c>
      <c r="G46" s="900">
        <v>237878</v>
      </c>
      <c r="H46" s="900">
        <v>224100</v>
      </c>
      <c r="I46" s="881">
        <v>106.15</v>
      </c>
      <c r="J46" s="881">
        <v>3.27</v>
      </c>
      <c r="K46" s="900">
        <f>(F46/C46)</f>
        <v>215.51249796431287</v>
      </c>
    </row>
    <row r="47" spans="2:11" ht="12.75" customHeight="1" hidden="1">
      <c r="B47" s="122" t="s">
        <v>1333</v>
      </c>
      <c r="C47" s="884"/>
      <c r="D47" s="885"/>
      <c r="E47" s="885"/>
      <c r="F47" s="885"/>
      <c r="G47" s="885"/>
      <c r="H47" s="885"/>
      <c r="I47" s="876" t="e">
        <f>(G47/H47)*100</f>
        <v>#DIV/0!</v>
      </c>
      <c r="J47" s="876" t="e">
        <f>(F47/E47)</f>
        <v>#DIV/0!</v>
      </c>
      <c r="K47" s="885" t="e">
        <f>(F47/C47)</f>
        <v>#DIV/0!</v>
      </c>
    </row>
    <row r="48" spans="2:11" ht="12.75" customHeight="1" hidden="1">
      <c r="B48" s="112" t="s">
        <v>644</v>
      </c>
      <c r="C48" s="883">
        <v>2143.6251</v>
      </c>
      <c r="D48" s="900">
        <v>237</v>
      </c>
      <c r="E48" s="900">
        <v>141903</v>
      </c>
      <c r="F48" s="900">
        <f>SUM(G48:H48)</f>
        <v>461695</v>
      </c>
      <c r="G48" s="900">
        <v>237595</v>
      </c>
      <c r="H48" s="900">
        <v>224100</v>
      </c>
      <c r="I48" s="881">
        <v>106.02</v>
      </c>
      <c r="J48" s="881">
        <v>3.25</v>
      </c>
      <c r="K48" s="900">
        <v>215</v>
      </c>
    </row>
    <row r="49" spans="2:11" ht="12.75" customHeight="1" hidden="1">
      <c r="B49" s="122" t="s">
        <v>1334</v>
      </c>
      <c r="C49" s="884"/>
      <c r="D49" s="885"/>
      <c r="E49" s="885"/>
      <c r="F49" s="885"/>
      <c r="G49" s="885"/>
      <c r="H49" s="885"/>
      <c r="I49" s="876" t="e">
        <f>(G49/H49)*100</f>
        <v>#DIV/0!</v>
      </c>
      <c r="J49" s="876" t="e">
        <f>(F49/E49)</f>
        <v>#DIV/0!</v>
      </c>
      <c r="K49" s="885" t="e">
        <f>(F49/C49)</f>
        <v>#DIV/0!</v>
      </c>
    </row>
    <row r="50" spans="2:11" ht="12.75" customHeight="1" hidden="1">
      <c r="B50" s="112" t="s">
        <v>645</v>
      </c>
      <c r="C50" s="883">
        <v>2143.6251</v>
      </c>
      <c r="D50" s="900">
        <v>237</v>
      </c>
      <c r="E50" s="900">
        <v>142500</v>
      </c>
      <c r="F50" s="900">
        <f>SUM(G50:H50)</f>
        <v>461467</v>
      </c>
      <c r="G50" s="900">
        <v>237406</v>
      </c>
      <c r="H50" s="900">
        <v>224061</v>
      </c>
      <c r="I50" s="880">
        <v>105.96</v>
      </c>
      <c r="J50" s="880">
        <v>3.24</v>
      </c>
      <c r="K50" s="878">
        <v>215</v>
      </c>
    </row>
    <row r="51" spans="2:11" ht="12.75" customHeight="1" hidden="1">
      <c r="B51" s="122" t="s">
        <v>1335</v>
      </c>
      <c r="C51" s="884"/>
      <c r="D51" s="885"/>
      <c r="E51" s="885"/>
      <c r="F51" s="885"/>
      <c r="G51" s="885"/>
      <c r="H51" s="885"/>
      <c r="I51" s="879"/>
      <c r="J51" s="879"/>
      <c r="K51" s="879"/>
    </row>
    <row r="52" spans="2:11" ht="12.75" customHeight="1" hidden="1">
      <c r="B52" s="112" t="s">
        <v>646</v>
      </c>
      <c r="C52" s="883">
        <v>2143.6251</v>
      </c>
      <c r="D52" s="900">
        <v>237</v>
      </c>
      <c r="E52" s="900">
        <v>142776</v>
      </c>
      <c r="F52" s="900">
        <f>SUM(G52:H52)</f>
        <v>461586</v>
      </c>
      <c r="G52" s="900">
        <v>237326</v>
      </c>
      <c r="H52" s="900">
        <v>224260</v>
      </c>
      <c r="I52" s="876">
        <v>105.83</v>
      </c>
      <c r="J52" s="876">
        <v>3.23</v>
      </c>
      <c r="K52" s="885">
        <v>215</v>
      </c>
    </row>
    <row r="53" spans="2:11" ht="12.75" customHeight="1" hidden="1">
      <c r="B53" s="122" t="s">
        <v>1336</v>
      </c>
      <c r="C53" s="884"/>
      <c r="D53" s="885"/>
      <c r="E53" s="885"/>
      <c r="F53" s="885"/>
      <c r="G53" s="885"/>
      <c r="H53" s="885"/>
      <c r="I53" s="876"/>
      <c r="J53" s="876"/>
      <c r="K53" s="885"/>
    </row>
    <row r="54" spans="2:11" ht="19.5" customHeight="1">
      <c r="B54" s="112" t="s">
        <v>648</v>
      </c>
      <c r="C54" s="155">
        <v>2143.6251</v>
      </c>
      <c r="D54" s="158">
        <v>235</v>
      </c>
      <c r="E54" s="158">
        <v>144669</v>
      </c>
      <c r="F54" s="158">
        <v>460426</v>
      </c>
      <c r="G54" s="158">
        <v>236447</v>
      </c>
      <c r="H54" s="158">
        <v>223979</v>
      </c>
      <c r="I54" s="161">
        <v>105.57</v>
      </c>
      <c r="J54" s="161">
        <v>3.18</v>
      </c>
      <c r="K54" s="158">
        <v>215</v>
      </c>
    </row>
    <row r="55" spans="2:11" ht="12.75" customHeight="1" hidden="1">
      <c r="B55" s="112" t="s">
        <v>643</v>
      </c>
      <c r="C55" s="883">
        <v>2143.6251</v>
      </c>
      <c r="D55" s="900">
        <v>235</v>
      </c>
      <c r="E55" s="900">
        <v>143016</v>
      </c>
      <c r="F55" s="900">
        <f>SUM(G55:H56)</f>
        <v>461116</v>
      </c>
      <c r="G55" s="900">
        <v>237038</v>
      </c>
      <c r="H55" s="900">
        <v>224078</v>
      </c>
      <c r="I55" s="876">
        <v>105.78</v>
      </c>
      <c r="J55" s="876">
        <v>3.22</v>
      </c>
      <c r="K55" s="885">
        <v>215</v>
      </c>
    </row>
    <row r="56" spans="2:11" ht="12.75" customHeight="1" hidden="1">
      <c r="B56" s="122" t="s">
        <v>1333</v>
      </c>
      <c r="C56" s="884"/>
      <c r="D56" s="885"/>
      <c r="E56" s="885"/>
      <c r="F56" s="885"/>
      <c r="G56" s="885"/>
      <c r="H56" s="885"/>
      <c r="I56" s="876" t="e">
        <f>(G56/H56)*100</f>
        <v>#DIV/0!</v>
      </c>
      <c r="J56" s="876" t="e">
        <f>(F56/E56)</f>
        <v>#DIV/0!</v>
      </c>
      <c r="K56" s="885" t="e">
        <f>(F56/C56)</f>
        <v>#DIV/0!</v>
      </c>
    </row>
    <row r="57" spans="2:11" ht="12.75" customHeight="1" hidden="1">
      <c r="B57" s="112" t="s">
        <v>644</v>
      </c>
      <c r="C57" s="883">
        <v>2143.6251</v>
      </c>
      <c r="D57" s="900">
        <v>235</v>
      </c>
      <c r="E57" s="900">
        <v>143492</v>
      </c>
      <c r="F57" s="900">
        <f>SUM(G57:H58)</f>
        <v>460855</v>
      </c>
      <c r="G57" s="900">
        <v>236857</v>
      </c>
      <c r="H57" s="900">
        <v>223998</v>
      </c>
      <c r="I57" s="881">
        <v>105.74</v>
      </c>
      <c r="J57" s="881">
        <v>3.21</v>
      </c>
      <c r="K57" s="900">
        <v>215</v>
      </c>
    </row>
    <row r="58" spans="2:11" ht="12.75" customHeight="1" hidden="1">
      <c r="B58" s="122" t="s">
        <v>1334</v>
      </c>
      <c r="C58" s="884"/>
      <c r="D58" s="885"/>
      <c r="E58" s="885"/>
      <c r="F58" s="885"/>
      <c r="G58" s="885"/>
      <c r="H58" s="885"/>
      <c r="I58" s="876"/>
      <c r="J58" s="876"/>
      <c r="K58" s="885"/>
    </row>
    <row r="59" spans="2:11" ht="12.75" customHeight="1" hidden="1">
      <c r="B59" s="112" t="s">
        <v>645</v>
      </c>
      <c r="C59" s="883">
        <v>2143.6251</v>
      </c>
      <c r="D59" s="900">
        <v>235</v>
      </c>
      <c r="E59" s="900">
        <v>144427</v>
      </c>
      <c r="F59" s="900">
        <f>SUM(G59:H60)</f>
        <v>460599</v>
      </c>
      <c r="G59" s="900">
        <v>236628</v>
      </c>
      <c r="H59" s="900">
        <v>223971</v>
      </c>
      <c r="I59" s="881">
        <v>105.65</v>
      </c>
      <c r="J59" s="881">
        <v>3.19</v>
      </c>
      <c r="K59" s="900">
        <v>215</v>
      </c>
    </row>
    <row r="60" spans="2:11" ht="12.75" customHeight="1" hidden="1">
      <c r="B60" s="122" t="s">
        <v>1335</v>
      </c>
      <c r="C60" s="884"/>
      <c r="D60" s="885"/>
      <c r="E60" s="885"/>
      <c r="F60" s="885"/>
      <c r="G60" s="885"/>
      <c r="H60" s="885"/>
      <c r="I60" s="876"/>
      <c r="J60" s="876"/>
      <c r="K60" s="885"/>
    </row>
    <row r="61" spans="2:11" ht="12.75" customHeight="1" hidden="1">
      <c r="B61" s="112" t="s">
        <v>646</v>
      </c>
      <c r="C61" s="883">
        <f>SUM(C62:C69)</f>
        <v>8574.5004</v>
      </c>
      <c r="D61" s="900">
        <v>235</v>
      </c>
      <c r="E61" s="900">
        <v>144669</v>
      </c>
      <c r="F61" s="900">
        <v>460426</v>
      </c>
      <c r="G61" s="900">
        <v>236447</v>
      </c>
      <c r="H61" s="900">
        <v>223979</v>
      </c>
      <c r="I61" s="881">
        <v>105.57</v>
      </c>
      <c r="J61" s="881">
        <v>3.18</v>
      </c>
      <c r="K61" s="900">
        <v>215</v>
      </c>
    </row>
    <row r="62" spans="2:11" ht="16.5" customHeight="1" hidden="1">
      <c r="B62" s="122" t="s">
        <v>1336</v>
      </c>
      <c r="C62" s="884"/>
      <c r="D62" s="885"/>
      <c r="E62" s="885"/>
      <c r="F62" s="885"/>
      <c r="G62" s="885"/>
      <c r="H62" s="885"/>
      <c r="I62" s="876"/>
      <c r="J62" s="876"/>
      <c r="K62" s="885"/>
    </row>
    <row r="63" spans="2:11" ht="19.5" customHeight="1">
      <c r="B63" s="112" t="s">
        <v>649</v>
      </c>
      <c r="C63" s="163">
        <v>2143.6251</v>
      </c>
      <c r="D63" s="158">
        <v>235</v>
      </c>
      <c r="E63" s="158">
        <v>146924</v>
      </c>
      <c r="F63" s="158">
        <v>460398</v>
      </c>
      <c r="G63" s="158">
        <v>235952</v>
      </c>
      <c r="H63" s="158">
        <v>224446</v>
      </c>
      <c r="I63" s="161">
        <v>105.13</v>
      </c>
      <c r="J63" s="161">
        <v>3.13</v>
      </c>
      <c r="K63" s="158">
        <v>215</v>
      </c>
    </row>
    <row r="64" spans="2:11" ht="12.75" customHeight="1" hidden="1">
      <c r="B64" s="112" t="s">
        <v>643</v>
      </c>
      <c r="C64" s="883">
        <v>2143.6251</v>
      </c>
      <c r="D64" s="900">
        <v>235</v>
      </c>
      <c r="E64" s="900">
        <v>145031</v>
      </c>
      <c r="F64" s="900">
        <v>460211</v>
      </c>
      <c r="G64" s="900">
        <v>236195</v>
      </c>
      <c r="H64" s="900">
        <v>224016</v>
      </c>
      <c r="I64" s="881">
        <v>105.44</v>
      </c>
      <c r="J64" s="881">
        <v>3.17</v>
      </c>
      <c r="K64" s="900">
        <v>215</v>
      </c>
    </row>
    <row r="65" spans="2:11" ht="12.75" customHeight="1" hidden="1">
      <c r="B65" s="122" t="s">
        <v>1333</v>
      </c>
      <c r="C65" s="884"/>
      <c r="D65" s="885"/>
      <c r="E65" s="885"/>
      <c r="F65" s="877"/>
      <c r="G65" s="885"/>
      <c r="H65" s="885"/>
      <c r="I65" s="876"/>
      <c r="J65" s="876"/>
      <c r="K65" s="885"/>
    </row>
    <row r="66" spans="2:11" ht="12.75" customHeight="1" hidden="1">
      <c r="B66" s="112" t="s">
        <v>644</v>
      </c>
      <c r="C66" s="883">
        <v>2143.6251</v>
      </c>
      <c r="D66" s="900">
        <v>235</v>
      </c>
      <c r="E66" s="900">
        <v>145647</v>
      </c>
      <c r="F66" s="900">
        <v>460133</v>
      </c>
      <c r="G66" s="900">
        <v>236061</v>
      </c>
      <c r="H66" s="900">
        <v>224072</v>
      </c>
      <c r="I66" s="881">
        <v>105.35</v>
      </c>
      <c r="J66" s="881">
        <v>3.16</v>
      </c>
      <c r="K66" s="900">
        <v>215</v>
      </c>
    </row>
    <row r="67" spans="2:11" ht="12.75" customHeight="1" hidden="1">
      <c r="B67" s="122" t="s">
        <v>1334</v>
      </c>
      <c r="C67" s="884"/>
      <c r="D67" s="900"/>
      <c r="E67" s="900"/>
      <c r="F67" s="900"/>
      <c r="G67" s="900"/>
      <c r="H67" s="900"/>
      <c r="I67" s="881"/>
      <c r="J67" s="881"/>
      <c r="K67" s="900"/>
    </row>
    <row r="68" spans="2:11" ht="12.75" customHeight="1" hidden="1">
      <c r="B68" s="112" t="s">
        <v>645</v>
      </c>
      <c r="C68" s="883">
        <v>2143.6251</v>
      </c>
      <c r="D68" s="900">
        <v>235</v>
      </c>
      <c r="E68" s="900">
        <v>146422</v>
      </c>
      <c r="F68" s="900">
        <v>460193</v>
      </c>
      <c r="G68" s="900">
        <v>235986</v>
      </c>
      <c r="H68" s="900">
        <v>224207</v>
      </c>
      <c r="I68" s="881">
        <v>105.25</v>
      </c>
      <c r="J68" s="882">
        <v>3.14</v>
      </c>
      <c r="K68" s="900">
        <v>215</v>
      </c>
    </row>
    <row r="69" spans="2:11" ht="12.75" customHeight="1" hidden="1">
      <c r="B69" s="122" t="s">
        <v>1335</v>
      </c>
      <c r="C69" s="884"/>
      <c r="D69" s="900"/>
      <c r="E69" s="900"/>
      <c r="F69" s="900"/>
      <c r="G69" s="900"/>
      <c r="H69" s="900"/>
      <c r="I69" s="881"/>
      <c r="J69" s="882"/>
      <c r="K69" s="900"/>
    </row>
    <row r="70" spans="2:11" ht="12.75" customHeight="1" hidden="1">
      <c r="B70" s="112" t="s">
        <v>646</v>
      </c>
      <c r="C70" s="883">
        <v>2143.6251</v>
      </c>
      <c r="D70" s="900">
        <v>235</v>
      </c>
      <c r="E70" s="900">
        <v>146924</v>
      </c>
      <c r="F70" s="900">
        <v>460398</v>
      </c>
      <c r="G70" s="900">
        <v>235952</v>
      </c>
      <c r="H70" s="900">
        <v>224446</v>
      </c>
      <c r="I70" s="881">
        <v>105.13</v>
      </c>
      <c r="J70" s="882">
        <v>3.13</v>
      </c>
      <c r="K70" s="900">
        <v>215</v>
      </c>
    </row>
    <row r="71" spans="2:11" ht="4.5" customHeight="1" hidden="1">
      <c r="B71" s="122" t="s">
        <v>1336</v>
      </c>
      <c r="C71" s="884"/>
      <c r="D71" s="900"/>
      <c r="E71" s="900"/>
      <c r="F71" s="900"/>
      <c r="G71" s="900"/>
      <c r="H71" s="900"/>
      <c r="I71" s="881"/>
      <c r="J71" s="882"/>
      <c r="K71" s="900"/>
    </row>
    <row r="72" spans="2:11" s="117" customFormat="1" ht="19.5" customHeight="1">
      <c r="B72" s="112" t="s">
        <v>650</v>
      </c>
      <c r="C72" s="164">
        <v>2143.6251</v>
      </c>
      <c r="D72" s="5">
        <v>235</v>
      </c>
      <c r="E72" s="5">
        <v>149839</v>
      </c>
      <c r="F72" s="5">
        <v>460902</v>
      </c>
      <c r="G72" s="5">
        <v>235855</v>
      </c>
      <c r="H72" s="5">
        <v>225047</v>
      </c>
      <c r="I72" s="159">
        <v>104.8</v>
      </c>
      <c r="J72" s="159">
        <v>3.08</v>
      </c>
      <c r="K72" s="5">
        <v>215</v>
      </c>
    </row>
    <row r="73" spans="2:11" ht="12.75" customHeight="1" hidden="1">
      <c r="B73" s="112" t="s">
        <v>643</v>
      </c>
      <c r="C73" s="883">
        <v>2143.6251</v>
      </c>
      <c r="D73" s="900">
        <v>235</v>
      </c>
      <c r="E73" s="900">
        <v>147380</v>
      </c>
      <c r="F73" s="900">
        <v>460656</v>
      </c>
      <c r="G73" s="900">
        <v>235908</v>
      </c>
      <c r="H73" s="900">
        <v>224748</v>
      </c>
      <c r="I73" s="881">
        <v>104.97</v>
      </c>
      <c r="J73" s="881">
        <v>3.13</v>
      </c>
      <c r="K73" s="900">
        <v>215</v>
      </c>
    </row>
    <row r="74" spans="2:11" ht="12.75" customHeight="1" hidden="1">
      <c r="B74" s="122" t="s">
        <v>1333</v>
      </c>
      <c r="C74" s="884"/>
      <c r="D74" s="900"/>
      <c r="E74" s="900"/>
      <c r="F74" s="900"/>
      <c r="G74" s="900"/>
      <c r="H74" s="900"/>
      <c r="I74" s="881"/>
      <c r="J74" s="881"/>
      <c r="K74" s="900"/>
    </row>
    <row r="75" spans="2:11" ht="12.75" customHeight="1" hidden="1">
      <c r="B75" s="112" t="s">
        <v>644</v>
      </c>
      <c r="C75" s="896">
        <v>95831</v>
      </c>
      <c r="D75" s="894">
        <v>73038</v>
      </c>
      <c r="E75" s="894">
        <v>43305</v>
      </c>
      <c r="F75" s="894">
        <v>31161</v>
      </c>
      <c r="G75" s="894">
        <v>35895</v>
      </c>
      <c r="H75" s="894">
        <v>25109</v>
      </c>
      <c r="I75" s="895">
        <v>104.82</v>
      </c>
      <c r="J75" s="895">
        <v>3.11</v>
      </c>
      <c r="K75" s="894">
        <v>215</v>
      </c>
    </row>
    <row r="76" spans="2:11" ht="12.75" customHeight="1" hidden="1">
      <c r="B76" s="122" t="s">
        <v>1334</v>
      </c>
      <c r="C76" s="896"/>
      <c r="D76" s="894"/>
      <c r="E76" s="894"/>
      <c r="F76" s="894"/>
      <c r="G76" s="894"/>
      <c r="H76" s="894"/>
      <c r="I76" s="895"/>
      <c r="J76" s="895"/>
      <c r="K76" s="894"/>
    </row>
    <row r="77" spans="2:11" ht="9.75" customHeight="1" hidden="1">
      <c r="B77" s="112" t="s">
        <v>645</v>
      </c>
      <c r="C77" s="896">
        <v>2143.6251</v>
      </c>
      <c r="D77" s="894">
        <v>235</v>
      </c>
      <c r="E77" s="894">
        <v>149245</v>
      </c>
      <c r="F77" s="894">
        <v>461094</v>
      </c>
      <c r="G77" s="894">
        <v>235913</v>
      </c>
      <c r="H77" s="894">
        <v>225181</v>
      </c>
      <c r="I77" s="895">
        <v>104.77</v>
      </c>
      <c r="J77" s="895">
        <v>3.09</v>
      </c>
      <c r="K77" s="894">
        <v>215</v>
      </c>
    </row>
    <row r="78" spans="2:11" ht="9.75" customHeight="1" hidden="1">
      <c r="B78" s="122" t="s">
        <v>1335</v>
      </c>
      <c r="C78" s="896"/>
      <c r="D78" s="894"/>
      <c r="E78" s="894"/>
      <c r="F78" s="894"/>
      <c r="G78" s="894"/>
      <c r="H78" s="894"/>
      <c r="I78" s="895"/>
      <c r="J78" s="895"/>
      <c r="K78" s="894"/>
    </row>
    <row r="79" spans="2:11" ht="9.75" customHeight="1" hidden="1">
      <c r="B79" s="112" t="s">
        <v>646</v>
      </c>
      <c r="C79" s="896">
        <v>2143.6251</v>
      </c>
      <c r="D79" s="894">
        <v>235</v>
      </c>
      <c r="E79" s="894">
        <v>149839</v>
      </c>
      <c r="F79" s="894">
        <v>460902</v>
      </c>
      <c r="G79" s="894">
        <v>235855</v>
      </c>
      <c r="H79" s="894">
        <v>225047</v>
      </c>
      <c r="I79" s="895">
        <v>104.8</v>
      </c>
      <c r="J79" s="895">
        <v>3.08</v>
      </c>
      <c r="K79" s="894">
        <v>215</v>
      </c>
    </row>
    <row r="80" spans="2:11" ht="9.75" customHeight="1" hidden="1">
      <c r="B80" s="122" t="s">
        <v>1336</v>
      </c>
      <c r="C80" s="896"/>
      <c r="D80" s="894"/>
      <c r="E80" s="894"/>
      <c r="F80" s="894"/>
      <c r="G80" s="894"/>
      <c r="H80" s="894"/>
      <c r="I80" s="895"/>
      <c r="J80" s="895"/>
      <c r="K80" s="894"/>
    </row>
    <row r="81" spans="2:11" ht="19.5" customHeight="1">
      <c r="B81" s="112" t="s">
        <v>651</v>
      </c>
      <c r="C81" s="165">
        <v>2143.6251</v>
      </c>
      <c r="D81" s="30">
        <v>235</v>
      </c>
      <c r="E81" s="30">
        <v>151942</v>
      </c>
      <c r="F81" s="30">
        <v>461625</v>
      </c>
      <c r="G81" s="30">
        <v>235714</v>
      </c>
      <c r="H81" s="30">
        <v>225911</v>
      </c>
      <c r="I81" s="166">
        <v>104.34</v>
      </c>
      <c r="J81" s="166">
        <v>3.04</v>
      </c>
      <c r="K81" s="30">
        <v>215</v>
      </c>
    </row>
    <row r="82" spans="2:11" ht="9.75" customHeight="1" hidden="1">
      <c r="B82" s="112" t="s">
        <v>643</v>
      </c>
      <c r="C82" s="896">
        <v>2143.6251</v>
      </c>
      <c r="D82" s="894">
        <v>235</v>
      </c>
      <c r="E82" s="894">
        <v>150081</v>
      </c>
      <c r="F82" s="894">
        <v>460908</v>
      </c>
      <c r="G82" s="894">
        <v>235694</v>
      </c>
      <c r="H82" s="894">
        <v>225214</v>
      </c>
      <c r="I82" s="895">
        <v>104.65</v>
      </c>
      <c r="J82" s="895">
        <v>3.07</v>
      </c>
      <c r="K82" s="894">
        <v>215</v>
      </c>
    </row>
    <row r="83" spans="2:11" ht="9.75" customHeight="1" hidden="1">
      <c r="B83" s="122" t="s">
        <v>1333</v>
      </c>
      <c r="C83" s="896"/>
      <c r="D83" s="894"/>
      <c r="E83" s="894"/>
      <c r="F83" s="894"/>
      <c r="G83" s="894"/>
      <c r="H83" s="894"/>
      <c r="I83" s="895"/>
      <c r="J83" s="895"/>
      <c r="K83" s="894"/>
    </row>
    <row r="84" spans="2:11" ht="15" customHeight="1" hidden="1">
      <c r="B84" s="112" t="s">
        <v>644</v>
      </c>
      <c r="C84" s="896">
        <v>2143.6251</v>
      </c>
      <c r="D84" s="894">
        <v>235</v>
      </c>
      <c r="E84" s="894">
        <v>150753</v>
      </c>
      <c r="F84" s="894">
        <v>461461</v>
      </c>
      <c r="G84" s="894">
        <v>235895</v>
      </c>
      <c r="H84" s="894">
        <v>225566</v>
      </c>
      <c r="I84" s="895">
        <v>104.58</v>
      </c>
      <c r="J84" s="895">
        <v>3.06</v>
      </c>
      <c r="K84" s="894">
        <v>215</v>
      </c>
    </row>
    <row r="85" spans="2:11" ht="15" customHeight="1" hidden="1">
      <c r="B85" s="122" t="s">
        <v>1334</v>
      </c>
      <c r="C85" s="896"/>
      <c r="D85" s="894"/>
      <c r="E85" s="894"/>
      <c r="F85" s="894"/>
      <c r="G85" s="894"/>
      <c r="H85" s="894"/>
      <c r="I85" s="895"/>
      <c r="J85" s="895"/>
      <c r="K85" s="894"/>
    </row>
    <row r="86" spans="2:11" ht="15" customHeight="1" hidden="1">
      <c r="B86" s="112" t="s">
        <v>645</v>
      </c>
      <c r="C86" s="896">
        <v>2143.6251</v>
      </c>
      <c r="D86" s="894">
        <v>235</v>
      </c>
      <c r="E86" s="894">
        <v>151519</v>
      </c>
      <c r="F86" s="894">
        <v>461203</v>
      </c>
      <c r="G86" s="894">
        <v>235690</v>
      </c>
      <c r="H86" s="894">
        <v>225513</v>
      </c>
      <c r="I86" s="895">
        <v>104.51</v>
      </c>
      <c r="J86" s="895">
        <v>3.04</v>
      </c>
      <c r="K86" s="894">
        <v>215</v>
      </c>
    </row>
    <row r="87" spans="2:11" ht="15" customHeight="1" hidden="1">
      <c r="B87" s="122" t="s">
        <v>1335</v>
      </c>
      <c r="C87" s="896"/>
      <c r="D87" s="894"/>
      <c r="E87" s="894"/>
      <c r="F87" s="894"/>
      <c r="G87" s="894"/>
      <c r="H87" s="894"/>
      <c r="I87" s="895"/>
      <c r="J87" s="895"/>
      <c r="K87" s="894"/>
    </row>
    <row r="88" spans="2:11" ht="15" customHeight="1">
      <c r="B88" s="112" t="s">
        <v>646</v>
      </c>
      <c r="C88" s="896">
        <v>2143.6251</v>
      </c>
      <c r="D88" s="894">
        <v>235</v>
      </c>
      <c r="E88" s="894">
        <v>151942</v>
      </c>
      <c r="F88" s="894">
        <v>461625</v>
      </c>
      <c r="G88" s="894">
        <v>235714</v>
      </c>
      <c r="H88" s="894">
        <v>225911</v>
      </c>
      <c r="I88" s="895">
        <v>104.34</v>
      </c>
      <c r="J88" s="895">
        <v>3.04</v>
      </c>
      <c r="K88" s="894">
        <v>215</v>
      </c>
    </row>
    <row r="89" spans="2:11" ht="15" customHeight="1">
      <c r="B89" s="122" t="s">
        <v>1336</v>
      </c>
      <c r="C89" s="896"/>
      <c r="D89" s="894"/>
      <c r="E89" s="894"/>
      <c r="F89" s="894"/>
      <c r="G89" s="894"/>
      <c r="H89" s="894"/>
      <c r="I89" s="895"/>
      <c r="J89" s="895"/>
      <c r="K89" s="894"/>
    </row>
    <row r="90" spans="2:11" s="582" customFormat="1" ht="20.25" customHeight="1">
      <c r="B90" s="580" t="s">
        <v>653</v>
      </c>
      <c r="C90" s="581"/>
      <c r="D90" s="575"/>
      <c r="E90" s="575"/>
      <c r="F90" s="575"/>
      <c r="G90" s="575"/>
      <c r="H90" s="575"/>
      <c r="I90" s="574"/>
      <c r="J90" s="574"/>
      <c r="K90" s="575"/>
    </row>
    <row r="91" spans="2:11" s="582" customFormat="1" ht="15" customHeight="1">
      <c r="B91" s="580" t="s">
        <v>655</v>
      </c>
      <c r="C91" s="829">
        <v>2143.6251</v>
      </c>
      <c r="D91" s="830">
        <v>235</v>
      </c>
      <c r="E91" s="830">
        <v>152429</v>
      </c>
      <c r="F91" s="830">
        <v>461783</v>
      </c>
      <c r="G91" s="830">
        <v>235658</v>
      </c>
      <c r="H91" s="830">
        <v>226125</v>
      </c>
      <c r="I91" s="831">
        <v>104.21580983969044</v>
      </c>
      <c r="J91" s="831">
        <v>3.029495699637208</v>
      </c>
      <c r="K91" s="830">
        <v>215.42153056520937</v>
      </c>
    </row>
    <row r="92" spans="2:11" s="582" customFormat="1" ht="15" customHeight="1">
      <c r="B92" s="583" t="s">
        <v>1333</v>
      </c>
      <c r="C92" s="829"/>
      <c r="D92" s="830"/>
      <c r="E92" s="830"/>
      <c r="F92" s="830"/>
      <c r="G92" s="830"/>
      <c r="H92" s="830"/>
      <c r="I92" s="831"/>
      <c r="J92" s="831"/>
      <c r="K92" s="830"/>
    </row>
    <row r="93" spans="2:11" s="582" customFormat="1" ht="15" customHeight="1">
      <c r="B93" s="666" t="s">
        <v>644</v>
      </c>
      <c r="C93" s="896">
        <v>2143.6251</v>
      </c>
      <c r="D93" s="894">
        <v>235</v>
      </c>
      <c r="E93" s="894">
        <v>152756</v>
      </c>
      <c r="F93" s="900">
        <v>460604</v>
      </c>
      <c r="G93" s="900">
        <v>234986</v>
      </c>
      <c r="H93" s="894">
        <v>225618</v>
      </c>
      <c r="I93" s="895">
        <v>104.15</v>
      </c>
      <c r="J93" s="895">
        <v>3.02</v>
      </c>
      <c r="K93" s="894">
        <v>215</v>
      </c>
    </row>
    <row r="94" spans="2:11" s="582" customFormat="1" ht="15" customHeight="1">
      <c r="B94" s="667" t="s">
        <v>1334</v>
      </c>
      <c r="C94" s="896"/>
      <c r="D94" s="894"/>
      <c r="E94" s="894"/>
      <c r="F94" s="900"/>
      <c r="G94" s="900"/>
      <c r="H94" s="894"/>
      <c r="I94" s="895"/>
      <c r="J94" s="895"/>
      <c r="K94" s="894"/>
    </row>
    <row r="95" spans="2:11" s="582" customFormat="1" ht="15" customHeight="1">
      <c r="B95" s="112" t="s">
        <v>645</v>
      </c>
      <c r="C95" s="896">
        <v>2143.6251</v>
      </c>
      <c r="D95" s="894">
        <v>235</v>
      </c>
      <c r="E95" s="894">
        <v>153656</v>
      </c>
      <c r="F95" s="894">
        <v>460679</v>
      </c>
      <c r="G95" s="894">
        <v>234923</v>
      </c>
      <c r="H95" s="894">
        <v>225756</v>
      </c>
      <c r="I95" s="895">
        <v>104.06</v>
      </c>
      <c r="J95" s="895">
        <v>3</v>
      </c>
      <c r="K95" s="894">
        <v>215</v>
      </c>
    </row>
    <row r="96" spans="2:11" s="582" customFormat="1" ht="15" customHeight="1">
      <c r="B96" s="122" t="s">
        <v>1335</v>
      </c>
      <c r="C96" s="896"/>
      <c r="D96" s="894"/>
      <c r="E96" s="894"/>
      <c r="F96" s="894"/>
      <c r="G96" s="894"/>
      <c r="H96" s="894"/>
      <c r="I96" s="895"/>
      <c r="J96" s="895"/>
      <c r="K96" s="894"/>
    </row>
    <row r="97" spans="2:11" s="582" customFormat="1" ht="15" customHeight="1">
      <c r="B97" s="112" t="s">
        <v>646</v>
      </c>
      <c r="C97" s="896">
        <v>2143.6251</v>
      </c>
      <c r="D97" s="894">
        <v>235</v>
      </c>
      <c r="E97" s="894">
        <v>154021</v>
      </c>
      <c r="F97" s="833">
        <v>460486</v>
      </c>
      <c r="G97" s="833">
        <v>234682</v>
      </c>
      <c r="H97" s="833">
        <v>225804</v>
      </c>
      <c r="I97" s="836">
        <f>G97/H97*100</f>
        <v>103.93172840162264</v>
      </c>
      <c r="J97" s="836">
        <f>(F97/E97)</f>
        <v>2.989761136468404</v>
      </c>
      <c r="K97" s="834">
        <f>(F97/C97)</f>
        <v>214.81648073630038</v>
      </c>
    </row>
    <row r="98" spans="2:11" s="582" customFormat="1" ht="15" customHeight="1" thickBot="1">
      <c r="B98" s="122" t="s">
        <v>1336</v>
      </c>
      <c r="C98" s="896"/>
      <c r="D98" s="894"/>
      <c r="E98" s="832"/>
      <c r="F98" s="832"/>
      <c r="G98" s="832"/>
      <c r="H98" s="832"/>
      <c r="I98" s="837"/>
      <c r="J98" s="837"/>
      <c r="K98" s="835"/>
    </row>
    <row r="99" spans="2:11" s="582" customFormat="1" ht="24.75" customHeight="1">
      <c r="B99" s="584" t="s">
        <v>657</v>
      </c>
      <c r="C99" s="842">
        <v>0</v>
      </c>
      <c r="D99" s="842">
        <v>0</v>
      </c>
      <c r="E99" s="844">
        <f>(E97-E95)/E95*100</f>
        <v>0.2375436038944135</v>
      </c>
      <c r="F99" s="844">
        <f>(F97-F95)/F95*100</f>
        <v>-0.04189468154615252</v>
      </c>
      <c r="G99" s="844">
        <f>(G97-G95)/G95*100</f>
        <v>-0.10258680503824656</v>
      </c>
      <c r="H99" s="844">
        <f>(H97-H95)/H95*100</f>
        <v>0.02126189337160474</v>
      </c>
      <c r="I99" s="711" t="s">
        <v>658</v>
      </c>
      <c r="J99" s="711" t="s">
        <v>658</v>
      </c>
      <c r="K99" s="711" t="s">
        <v>658</v>
      </c>
    </row>
    <row r="100" spans="2:11" s="582" customFormat="1" ht="24.75" customHeight="1" thickBot="1">
      <c r="B100" s="585" t="s">
        <v>659</v>
      </c>
      <c r="C100" s="843"/>
      <c r="D100" s="843"/>
      <c r="E100" s="839"/>
      <c r="F100" s="839"/>
      <c r="G100" s="839"/>
      <c r="H100" s="839"/>
      <c r="I100" s="712">
        <f>I97-I95</f>
        <v>-0.128271598377367</v>
      </c>
      <c r="J100" s="712">
        <f>J97-J95</f>
        <v>-0.010238863531596198</v>
      </c>
      <c r="K100" s="713">
        <f>K97-K95</f>
        <v>-0.18351926369962257</v>
      </c>
    </row>
    <row r="101" spans="2:11" s="582" customFormat="1" ht="24.75" customHeight="1">
      <c r="B101" s="584" t="s">
        <v>660</v>
      </c>
      <c r="C101" s="840">
        <v>0</v>
      </c>
      <c r="D101" s="842">
        <v>0</v>
      </c>
      <c r="E101" s="844">
        <f>(E97-E88)/E88*100</f>
        <v>1.3682852667465217</v>
      </c>
      <c r="F101" s="844">
        <f>(F97-F88)/F88*100</f>
        <v>-0.24673707013268348</v>
      </c>
      <c r="G101" s="844">
        <f>(G97-G88)/G88*100</f>
        <v>-0.4378187125075303</v>
      </c>
      <c r="H101" s="844">
        <f>(H97-H88)/H88*100</f>
        <v>-0.0473637848533272</v>
      </c>
      <c r="I101" s="711" t="s">
        <v>658</v>
      </c>
      <c r="J101" s="711" t="s">
        <v>658</v>
      </c>
      <c r="K101" s="711" t="s">
        <v>658</v>
      </c>
    </row>
    <row r="102" spans="2:11" s="582" customFormat="1" ht="24.75" customHeight="1" thickBot="1">
      <c r="B102" s="585" t="s">
        <v>661</v>
      </c>
      <c r="C102" s="826"/>
      <c r="D102" s="827"/>
      <c r="E102" s="828"/>
      <c r="F102" s="828"/>
      <c r="G102" s="828"/>
      <c r="H102" s="828"/>
      <c r="I102" s="714">
        <f>I97-I88</f>
        <v>-0.40827159837736815</v>
      </c>
      <c r="J102" s="714">
        <f>J97-J88</f>
        <v>-0.050238863531596234</v>
      </c>
      <c r="K102" s="715">
        <f>K97-K88</f>
        <v>-0.18351926369962257</v>
      </c>
    </row>
    <row r="103" spans="2:11" s="582" customFormat="1" ht="16.5" customHeight="1">
      <c r="B103" s="586" t="s">
        <v>662</v>
      </c>
      <c r="K103" s="587"/>
    </row>
    <row r="104" spans="2:3" ht="9.75" customHeight="1">
      <c r="B104" s="114"/>
      <c r="C104" s="99"/>
    </row>
    <row r="105" s="147" customFormat="1" ht="9.75" customHeight="1"/>
    <row r="107" spans="1:12" ht="28.5" customHeight="1">
      <c r="A107" s="899" t="s">
        <v>663</v>
      </c>
      <c r="B107" s="899"/>
      <c r="C107" s="899"/>
      <c r="D107" s="899"/>
      <c r="E107" s="899"/>
      <c r="F107" s="899"/>
      <c r="G107" s="899"/>
      <c r="H107" s="899"/>
      <c r="I107" s="899"/>
      <c r="J107" s="899"/>
      <c r="K107" s="899"/>
      <c r="L107" s="899"/>
    </row>
    <row r="130" ht="15.75">
      <c r="C130" s="135"/>
    </row>
  </sheetData>
  <mergeCells count="326">
    <mergeCell ref="K97:K98"/>
    <mergeCell ref="G97:G98"/>
    <mergeCell ref="H97:H98"/>
    <mergeCell ref="I97:I98"/>
    <mergeCell ref="J97:J98"/>
    <mergeCell ref="C97:C98"/>
    <mergeCell ref="D97:D98"/>
    <mergeCell ref="E97:E98"/>
    <mergeCell ref="F97:F98"/>
    <mergeCell ref="K93:K94"/>
    <mergeCell ref="G93:G94"/>
    <mergeCell ref="H93:H94"/>
    <mergeCell ref="I93:I94"/>
    <mergeCell ref="J93:J94"/>
    <mergeCell ref="C93:C94"/>
    <mergeCell ref="D93:D94"/>
    <mergeCell ref="E93:E94"/>
    <mergeCell ref="F93:F94"/>
    <mergeCell ref="K91:K92"/>
    <mergeCell ref="G91:G92"/>
    <mergeCell ref="H91:H92"/>
    <mergeCell ref="I91:I92"/>
    <mergeCell ref="J91:J92"/>
    <mergeCell ref="C91:C92"/>
    <mergeCell ref="D91:D92"/>
    <mergeCell ref="E91:E92"/>
    <mergeCell ref="F91:F92"/>
    <mergeCell ref="K86:K87"/>
    <mergeCell ref="G86:G87"/>
    <mergeCell ref="H86:H87"/>
    <mergeCell ref="I86:I87"/>
    <mergeCell ref="J86:J87"/>
    <mergeCell ref="C86:C87"/>
    <mergeCell ref="D86:D87"/>
    <mergeCell ref="E86:E87"/>
    <mergeCell ref="F86:F87"/>
    <mergeCell ref="C77:C78"/>
    <mergeCell ref="D77:D78"/>
    <mergeCell ref="E77:E78"/>
    <mergeCell ref="F77:F78"/>
    <mergeCell ref="K77:K78"/>
    <mergeCell ref="G77:G78"/>
    <mergeCell ref="H77:H78"/>
    <mergeCell ref="I77:I78"/>
    <mergeCell ref="J77:J78"/>
    <mergeCell ref="J75:J76"/>
    <mergeCell ref="K73:K74"/>
    <mergeCell ref="G73:G74"/>
    <mergeCell ref="H73:H74"/>
    <mergeCell ref="I73:I74"/>
    <mergeCell ref="J73:J74"/>
    <mergeCell ref="E73:E74"/>
    <mergeCell ref="F73:F74"/>
    <mergeCell ref="K75:K76"/>
    <mergeCell ref="C75:C76"/>
    <mergeCell ref="D75:D76"/>
    <mergeCell ref="E75:E76"/>
    <mergeCell ref="F75:F76"/>
    <mergeCell ref="G75:G76"/>
    <mergeCell ref="H75:H76"/>
    <mergeCell ref="I75:I76"/>
    <mergeCell ref="C70:C71"/>
    <mergeCell ref="D70:D71"/>
    <mergeCell ref="C73:C74"/>
    <mergeCell ref="D73:D74"/>
    <mergeCell ref="K70:K71"/>
    <mergeCell ref="E70:E71"/>
    <mergeCell ref="F70:F71"/>
    <mergeCell ref="G70:G71"/>
    <mergeCell ref="H70:H71"/>
    <mergeCell ref="I70:I71"/>
    <mergeCell ref="J70:J71"/>
    <mergeCell ref="K66:K67"/>
    <mergeCell ref="C66:C67"/>
    <mergeCell ref="D66:D67"/>
    <mergeCell ref="E66:E67"/>
    <mergeCell ref="F66:F67"/>
    <mergeCell ref="G66:G67"/>
    <mergeCell ref="H66:H67"/>
    <mergeCell ref="I66:I67"/>
    <mergeCell ref="J66:J67"/>
    <mergeCell ref="K57:K58"/>
    <mergeCell ref="G57:G58"/>
    <mergeCell ref="H57:H58"/>
    <mergeCell ref="I57:I58"/>
    <mergeCell ref="J57:J58"/>
    <mergeCell ref="C57:C58"/>
    <mergeCell ref="D57:D58"/>
    <mergeCell ref="E57:E58"/>
    <mergeCell ref="F57:F58"/>
    <mergeCell ref="K55:K56"/>
    <mergeCell ref="G55:G56"/>
    <mergeCell ref="H55:H56"/>
    <mergeCell ref="I55:I56"/>
    <mergeCell ref="J55:J56"/>
    <mergeCell ref="C55:C56"/>
    <mergeCell ref="D55:D56"/>
    <mergeCell ref="E55:E56"/>
    <mergeCell ref="F55:F56"/>
    <mergeCell ref="K52:K53"/>
    <mergeCell ref="G52:G53"/>
    <mergeCell ref="H52:H53"/>
    <mergeCell ref="I52:I53"/>
    <mergeCell ref="J52:J53"/>
    <mergeCell ref="C52:C53"/>
    <mergeCell ref="D52:D53"/>
    <mergeCell ref="E52:E53"/>
    <mergeCell ref="F52:F53"/>
    <mergeCell ref="K43:K44"/>
    <mergeCell ref="G43:G44"/>
    <mergeCell ref="H43:H44"/>
    <mergeCell ref="I43:I44"/>
    <mergeCell ref="J43:J44"/>
    <mergeCell ref="C43:C44"/>
    <mergeCell ref="D43:D44"/>
    <mergeCell ref="E43:E44"/>
    <mergeCell ref="F43:F44"/>
    <mergeCell ref="K39:K40"/>
    <mergeCell ref="D39:D40"/>
    <mergeCell ref="E39:E40"/>
    <mergeCell ref="G39:G40"/>
    <mergeCell ref="H39:H40"/>
    <mergeCell ref="C39:C40"/>
    <mergeCell ref="F39:F40"/>
    <mergeCell ref="I39:I40"/>
    <mergeCell ref="J39:J40"/>
    <mergeCell ref="K34:K35"/>
    <mergeCell ref="C37:C38"/>
    <mergeCell ref="D37:D38"/>
    <mergeCell ref="E37:E38"/>
    <mergeCell ref="F37:F38"/>
    <mergeCell ref="K37:K38"/>
    <mergeCell ref="G37:G38"/>
    <mergeCell ref="H37:H38"/>
    <mergeCell ref="I37:I38"/>
    <mergeCell ref="J37:J38"/>
    <mergeCell ref="G34:G35"/>
    <mergeCell ref="H34:H35"/>
    <mergeCell ref="I34:I35"/>
    <mergeCell ref="J34:J35"/>
    <mergeCell ref="C34:C35"/>
    <mergeCell ref="D34:D35"/>
    <mergeCell ref="E34:E35"/>
    <mergeCell ref="F34:F35"/>
    <mergeCell ref="K30:K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G30:G31"/>
    <mergeCell ref="H30:H31"/>
    <mergeCell ref="I30:I31"/>
    <mergeCell ref="J30:J31"/>
    <mergeCell ref="C30:C31"/>
    <mergeCell ref="D30:D31"/>
    <mergeCell ref="E30:E31"/>
    <mergeCell ref="F30:F31"/>
    <mergeCell ref="H28:H29"/>
    <mergeCell ref="I28:I29"/>
    <mergeCell ref="J28:J29"/>
    <mergeCell ref="K28:K29"/>
    <mergeCell ref="D28:D29"/>
    <mergeCell ref="E28:E29"/>
    <mergeCell ref="F28:F29"/>
    <mergeCell ref="G28:G29"/>
    <mergeCell ref="G99:G100"/>
    <mergeCell ref="H99:H100"/>
    <mergeCell ref="C101:C102"/>
    <mergeCell ref="J5:J6"/>
    <mergeCell ref="D101:D102"/>
    <mergeCell ref="E101:E102"/>
    <mergeCell ref="F101:F102"/>
    <mergeCell ref="G101:G102"/>
    <mergeCell ref="H101:H102"/>
    <mergeCell ref="C28:C29"/>
    <mergeCell ref="C99:C100"/>
    <mergeCell ref="D99:D100"/>
    <mergeCell ref="E99:E100"/>
    <mergeCell ref="F99:F100"/>
    <mergeCell ref="J8:J10"/>
    <mergeCell ref="K8:K10"/>
    <mergeCell ref="I7:I8"/>
    <mergeCell ref="I5:I6"/>
    <mergeCell ref="I9:I10"/>
    <mergeCell ref="A1:L1"/>
    <mergeCell ref="B2:K2"/>
    <mergeCell ref="E8:E10"/>
    <mergeCell ref="E5:E7"/>
    <mergeCell ref="F5:H5"/>
    <mergeCell ref="F6:H6"/>
    <mergeCell ref="F7:F8"/>
    <mergeCell ref="F9:F10"/>
    <mergeCell ref="G9:G10"/>
    <mergeCell ref="H9:H10"/>
    <mergeCell ref="G7:G8"/>
    <mergeCell ref="H7:H8"/>
    <mergeCell ref="B8:B10"/>
    <mergeCell ref="B5:B7"/>
    <mergeCell ref="C8:C10"/>
    <mergeCell ref="D8:D10"/>
    <mergeCell ref="D5:D7"/>
    <mergeCell ref="C41:C42"/>
    <mergeCell ref="D41:D42"/>
    <mergeCell ref="E41:E42"/>
    <mergeCell ref="F41:F42"/>
    <mergeCell ref="K41:K42"/>
    <mergeCell ref="G41:G42"/>
    <mergeCell ref="H41:H42"/>
    <mergeCell ref="I41:I42"/>
    <mergeCell ref="J41:J42"/>
    <mergeCell ref="C46:C47"/>
    <mergeCell ref="D46:D47"/>
    <mergeCell ref="E46:E47"/>
    <mergeCell ref="F46:F47"/>
    <mergeCell ref="K46:K47"/>
    <mergeCell ref="G46:G47"/>
    <mergeCell ref="H46:H47"/>
    <mergeCell ref="I46:I47"/>
    <mergeCell ref="J46:J47"/>
    <mergeCell ref="C48:C49"/>
    <mergeCell ref="D48:D49"/>
    <mergeCell ref="E48:E49"/>
    <mergeCell ref="F48:F49"/>
    <mergeCell ref="K48:K49"/>
    <mergeCell ref="G48:G49"/>
    <mergeCell ref="H48:H49"/>
    <mergeCell ref="I48:I49"/>
    <mergeCell ref="J48:J49"/>
    <mergeCell ref="C50:C51"/>
    <mergeCell ref="D50:D51"/>
    <mergeCell ref="E50:E51"/>
    <mergeCell ref="F50:F51"/>
    <mergeCell ref="K50:K51"/>
    <mergeCell ref="G50:G51"/>
    <mergeCell ref="H50:H51"/>
    <mergeCell ref="I50:I51"/>
    <mergeCell ref="J50:J51"/>
    <mergeCell ref="C59:C60"/>
    <mergeCell ref="D59:D60"/>
    <mergeCell ref="E59:E60"/>
    <mergeCell ref="F59:F60"/>
    <mergeCell ref="K59:K60"/>
    <mergeCell ref="G59:G60"/>
    <mergeCell ref="H59:H60"/>
    <mergeCell ref="I59:I60"/>
    <mergeCell ref="J59:J60"/>
    <mergeCell ref="C61:C62"/>
    <mergeCell ref="D61:D62"/>
    <mergeCell ref="E61:E62"/>
    <mergeCell ref="F61:F62"/>
    <mergeCell ref="K61:K62"/>
    <mergeCell ref="G61:G62"/>
    <mergeCell ref="H61:H62"/>
    <mergeCell ref="I61:I62"/>
    <mergeCell ref="J61:J62"/>
    <mergeCell ref="C64:C65"/>
    <mergeCell ref="D64:D65"/>
    <mergeCell ref="E64:E65"/>
    <mergeCell ref="F64:F65"/>
    <mergeCell ref="K64:K65"/>
    <mergeCell ref="G64:G65"/>
    <mergeCell ref="H64:H65"/>
    <mergeCell ref="I64:I65"/>
    <mergeCell ref="J64:J65"/>
    <mergeCell ref="C68:C69"/>
    <mergeCell ref="D68:D69"/>
    <mergeCell ref="E68:E69"/>
    <mergeCell ref="F68:F69"/>
    <mergeCell ref="K68:K69"/>
    <mergeCell ref="G68:G69"/>
    <mergeCell ref="H68:H69"/>
    <mergeCell ref="I68:I69"/>
    <mergeCell ref="J68:J69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C82:C83"/>
    <mergeCell ref="D82:D83"/>
    <mergeCell ref="E82:E83"/>
    <mergeCell ref="F82:F83"/>
    <mergeCell ref="E84:E85"/>
    <mergeCell ref="F84:F85"/>
    <mergeCell ref="K82:K83"/>
    <mergeCell ref="G82:G83"/>
    <mergeCell ref="H82:H83"/>
    <mergeCell ref="I82:I83"/>
    <mergeCell ref="J82:J83"/>
    <mergeCell ref="A3:L3"/>
    <mergeCell ref="A4:L4"/>
    <mergeCell ref="A107:L107"/>
    <mergeCell ref="K84:K85"/>
    <mergeCell ref="G84:G85"/>
    <mergeCell ref="H84:H85"/>
    <mergeCell ref="I84:I85"/>
    <mergeCell ref="J84:J85"/>
    <mergeCell ref="C84:C85"/>
    <mergeCell ref="D84:D85"/>
    <mergeCell ref="C95:C96"/>
    <mergeCell ref="D95:D96"/>
    <mergeCell ref="E95:E96"/>
    <mergeCell ref="F95:F96"/>
    <mergeCell ref="K95:K96"/>
    <mergeCell ref="G95:G96"/>
    <mergeCell ref="H95:H96"/>
    <mergeCell ref="I95:I96"/>
    <mergeCell ref="J95:J96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X72"/>
  <sheetViews>
    <sheetView workbookViewId="0" topLeftCell="C1">
      <selection activeCell="O51" sqref="O51"/>
    </sheetView>
  </sheetViews>
  <sheetFormatPr defaultColWidth="9.00390625" defaultRowHeight="16.5"/>
  <cols>
    <col min="1" max="1" width="2.625" style="0" customWidth="1"/>
    <col min="2" max="2" width="88.375" style="3" customWidth="1"/>
    <col min="3" max="3" width="2.625" style="3" customWidth="1"/>
    <col min="4" max="4" width="11.50390625" style="3" customWidth="1"/>
    <col min="5" max="13" width="9.125" style="3" customWidth="1"/>
    <col min="14" max="14" width="5.25390625" style="0" customWidth="1"/>
    <col min="15" max="15" width="11.00390625" style="0" customWidth="1"/>
    <col min="16" max="16" width="6.00390625" style="0" customWidth="1"/>
    <col min="17" max="17" width="6.375" style="0" customWidth="1"/>
    <col min="18" max="18" width="6.25390625" style="0" customWidth="1"/>
    <col min="19" max="19" width="5.875" style="0" customWidth="1"/>
    <col min="20" max="20" width="5.25390625" style="0" customWidth="1"/>
    <col min="21" max="21" width="6.375" style="0" customWidth="1"/>
    <col min="22" max="22" width="6.50390625" style="0" customWidth="1"/>
    <col min="23" max="23" width="6.25390625" style="0" customWidth="1"/>
  </cols>
  <sheetData>
    <row r="1" spans="2:13" ht="49.5" customHeight="1">
      <c r="B1" s="305" t="s">
        <v>203</v>
      </c>
      <c r="C1" s="310"/>
      <c r="D1" s="949" t="s">
        <v>979</v>
      </c>
      <c r="E1" s="949"/>
      <c r="F1" s="949"/>
      <c r="G1" s="949"/>
      <c r="H1" s="949"/>
      <c r="I1" s="949"/>
      <c r="J1" s="949"/>
      <c r="K1" s="949"/>
      <c r="L1" s="949"/>
      <c r="M1" s="949"/>
    </row>
    <row r="2" spans="2:13" ht="58.5" customHeight="1" thickBot="1">
      <c r="B2" s="491" t="s">
        <v>253</v>
      </c>
      <c r="C2" s="310"/>
      <c r="D2" s="405"/>
      <c r="E2" s="405"/>
      <c r="F2" s="405"/>
      <c r="G2" s="405"/>
      <c r="H2" s="405"/>
      <c r="I2" s="405"/>
      <c r="J2" s="405"/>
      <c r="K2" s="405"/>
      <c r="L2" s="1215" t="s">
        <v>978</v>
      </c>
      <c r="M2" s="1216"/>
    </row>
    <row r="3" spans="2:13" ht="67.5" customHeight="1" thickBot="1">
      <c r="B3" s="408"/>
      <c r="C3" s="491"/>
      <c r="D3" s="493" t="s">
        <v>205</v>
      </c>
      <c r="E3" s="494" t="s">
        <v>206</v>
      </c>
      <c r="F3" s="495" t="s">
        <v>207</v>
      </c>
      <c r="G3" s="495" t="s">
        <v>208</v>
      </c>
      <c r="H3" s="495" t="s">
        <v>209</v>
      </c>
      <c r="I3" s="495" t="s">
        <v>210</v>
      </c>
      <c r="J3" s="495" t="s">
        <v>211</v>
      </c>
      <c r="K3" s="495" t="s">
        <v>212</v>
      </c>
      <c r="L3" s="495" t="s">
        <v>213</v>
      </c>
      <c r="M3" s="496" t="s">
        <v>1093</v>
      </c>
    </row>
    <row r="4" spans="2:15" ht="27" customHeight="1" hidden="1">
      <c r="B4" s="408"/>
      <c r="C4" s="491"/>
      <c r="D4" s="17" t="s">
        <v>1393</v>
      </c>
      <c r="E4" s="492">
        <f>SUM(F4:M4)</f>
        <v>2547149</v>
      </c>
      <c r="F4" s="217">
        <v>1251223</v>
      </c>
      <c r="G4" s="217">
        <v>27626</v>
      </c>
      <c r="H4" s="217">
        <v>1153500</v>
      </c>
      <c r="I4" s="217"/>
      <c r="J4" s="217">
        <v>114800</v>
      </c>
      <c r="K4" s="256">
        <v>0</v>
      </c>
      <c r="L4" s="256">
        <v>0</v>
      </c>
      <c r="M4" s="256">
        <v>0</v>
      </c>
      <c r="N4" s="41"/>
      <c r="O4" s="93"/>
    </row>
    <row r="5" spans="2:15" ht="27" customHeight="1" hidden="1">
      <c r="B5" s="408"/>
      <c r="C5" s="491"/>
      <c r="D5" s="19" t="s">
        <v>1014</v>
      </c>
      <c r="E5" s="388">
        <f>SUM(F5:M5)</f>
        <v>2787530</v>
      </c>
      <c r="F5" s="217">
        <v>1218105</v>
      </c>
      <c r="G5" s="217">
        <v>6900</v>
      </c>
      <c r="H5" s="217">
        <v>1320800</v>
      </c>
      <c r="I5" s="217"/>
      <c r="J5" s="217">
        <v>217110</v>
      </c>
      <c r="K5" s="217">
        <v>24615</v>
      </c>
      <c r="L5" s="256">
        <v>0</v>
      </c>
      <c r="M5" s="256">
        <v>0</v>
      </c>
      <c r="N5" s="51"/>
      <c r="O5" s="94"/>
    </row>
    <row r="6" spans="2:20" ht="27" customHeight="1" hidden="1">
      <c r="B6" s="408"/>
      <c r="C6" s="491"/>
      <c r="D6" s="414"/>
      <c r="E6" s="388"/>
      <c r="F6" s="217"/>
      <c r="G6" s="217"/>
      <c r="H6" s="217"/>
      <c r="I6" s="217"/>
      <c r="J6" s="217"/>
      <c r="K6" s="217"/>
      <c r="L6" s="217"/>
      <c r="M6" s="217"/>
      <c r="N6" s="51"/>
      <c r="O6" s="94"/>
      <c r="S6" s="95"/>
      <c r="T6" s="94"/>
    </row>
    <row r="7" spans="2:20" ht="27" customHeight="1" hidden="1">
      <c r="B7" s="37"/>
      <c r="C7" s="37"/>
      <c r="D7" s="19" t="s">
        <v>1396</v>
      </c>
      <c r="E7" s="388">
        <f>SUM(F7:M7)</f>
        <v>1877172</v>
      </c>
      <c r="F7" s="217">
        <v>1429042</v>
      </c>
      <c r="G7" s="217">
        <v>12000</v>
      </c>
      <c r="H7" s="217">
        <v>327000</v>
      </c>
      <c r="I7" s="256">
        <v>0</v>
      </c>
      <c r="J7" s="217">
        <v>64000</v>
      </c>
      <c r="K7" s="217">
        <v>45130</v>
      </c>
      <c r="L7" s="256">
        <v>0</v>
      </c>
      <c r="M7" s="256">
        <v>0</v>
      </c>
      <c r="T7" s="94"/>
    </row>
    <row r="8" spans="2:20" ht="27" customHeight="1" hidden="1">
      <c r="B8" s="37"/>
      <c r="C8" s="37"/>
      <c r="D8" s="17" t="s">
        <v>1397</v>
      </c>
      <c r="E8" s="388">
        <f>SUM(F8:M8)</f>
        <v>1880419</v>
      </c>
      <c r="F8" s="217">
        <v>1139752</v>
      </c>
      <c r="G8" s="217">
        <v>41200</v>
      </c>
      <c r="H8" s="217">
        <v>228000</v>
      </c>
      <c r="I8" s="256">
        <v>0</v>
      </c>
      <c r="J8" s="217">
        <v>62500</v>
      </c>
      <c r="K8" s="217">
        <v>77106</v>
      </c>
      <c r="L8" s="217">
        <v>45531</v>
      </c>
      <c r="M8" s="217">
        <v>286330</v>
      </c>
      <c r="S8" s="95"/>
      <c r="T8" s="94"/>
    </row>
    <row r="9" spans="2:20" ht="30" customHeight="1" hidden="1">
      <c r="B9" s="37"/>
      <c r="C9" s="37"/>
      <c r="D9" s="531" t="s">
        <v>1175</v>
      </c>
      <c r="E9" s="388">
        <f>SUM(F9:M9)</f>
        <v>1985001</v>
      </c>
      <c r="F9" s="217">
        <v>1121319</v>
      </c>
      <c r="G9" s="217">
        <v>46000</v>
      </c>
      <c r="H9" s="217">
        <v>291774</v>
      </c>
      <c r="I9" s="256">
        <v>0</v>
      </c>
      <c r="J9" s="217">
        <v>43260</v>
      </c>
      <c r="K9" s="217">
        <v>127387</v>
      </c>
      <c r="L9" s="217">
        <v>97593</v>
      </c>
      <c r="M9" s="217">
        <v>257668</v>
      </c>
      <c r="S9" s="95"/>
      <c r="T9" s="94"/>
    </row>
    <row r="10" spans="2:20" ht="30" customHeight="1">
      <c r="B10" s="37"/>
      <c r="C10" s="37"/>
      <c r="D10" s="531" t="s">
        <v>1176</v>
      </c>
      <c r="E10" s="388">
        <f>SUM(F10:M10)</f>
        <v>2829536</v>
      </c>
      <c r="F10" s="217">
        <v>1354568</v>
      </c>
      <c r="G10" s="217">
        <v>26200</v>
      </c>
      <c r="H10" s="217">
        <v>799842</v>
      </c>
      <c r="I10" s="256">
        <v>0</v>
      </c>
      <c r="J10" s="217">
        <v>27913</v>
      </c>
      <c r="K10" s="217">
        <v>281010</v>
      </c>
      <c r="L10" s="217">
        <v>100947</v>
      </c>
      <c r="M10" s="217">
        <v>239056</v>
      </c>
      <c r="S10" s="95"/>
      <c r="T10" s="94"/>
    </row>
    <row r="11" spans="4:20" ht="30" customHeight="1">
      <c r="D11" s="531" t="s">
        <v>1177</v>
      </c>
      <c r="E11" s="388">
        <f>SUM(F11:M11)</f>
        <v>3306964</v>
      </c>
      <c r="F11" s="217">
        <v>1438727</v>
      </c>
      <c r="G11" s="217">
        <v>42884</v>
      </c>
      <c r="H11" s="217">
        <v>1017347</v>
      </c>
      <c r="I11" s="256">
        <v>0</v>
      </c>
      <c r="J11" s="217">
        <v>35040</v>
      </c>
      <c r="K11" s="217">
        <v>247905</v>
      </c>
      <c r="L11" s="217">
        <v>62712</v>
      </c>
      <c r="M11" s="217">
        <v>462349</v>
      </c>
      <c r="S11" s="95"/>
      <c r="T11" s="94"/>
    </row>
    <row r="12" spans="4:13" ht="30" customHeight="1">
      <c r="D12" s="531" t="s">
        <v>1178</v>
      </c>
      <c r="E12" s="388">
        <v>3388581</v>
      </c>
      <c r="F12" s="217">
        <v>1371993</v>
      </c>
      <c r="G12" s="217">
        <v>34560</v>
      </c>
      <c r="H12" s="217">
        <v>1118976</v>
      </c>
      <c r="I12" s="256">
        <v>0</v>
      </c>
      <c r="J12" s="217">
        <v>53568</v>
      </c>
      <c r="K12" s="217">
        <v>211804</v>
      </c>
      <c r="L12" s="217">
        <v>82941</v>
      </c>
      <c r="M12" s="217">
        <v>514739</v>
      </c>
    </row>
    <row r="13" spans="4:13" ht="30" customHeight="1">
      <c r="D13" s="531" t="s">
        <v>1179</v>
      </c>
      <c r="E13" s="388">
        <v>2656877</v>
      </c>
      <c r="F13" s="217">
        <v>685262</v>
      </c>
      <c r="G13" s="217">
        <v>22763</v>
      </c>
      <c r="H13" s="217">
        <v>1123953</v>
      </c>
      <c r="I13" s="256">
        <v>0</v>
      </c>
      <c r="J13" s="217">
        <v>64368</v>
      </c>
      <c r="K13" s="217">
        <v>201088</v>
      </c>
      <c r="L13" s="217">
        <v>45869</v>
      </c>
      <c r="M13" s="217">
        <v>513574</v>
      </c>
    </row>
    <row r="14" spans="4:13" ht="27" customHeight="1" hidden="1">
      <c r="D14" s="532" t="s">
        <v>1180</v>
      </c>
      <c r="E14" s="388">
        <f>SUM(F14:M14)</f>
        <v>637658</v>
      </c>
      <c r="F14" s="217">
        <v>109810</v>
      </c>
      <c r="G14" s="217">
        <v>5778</v>
      </c>
      <c r="H14" s="217">
        <v>343488</v>
      </c>
      <c r="I14" s="217"/>
      <c r="J14" s="217">
        <v>20867</v>
      </c>
      <c r="K14" s="217">
        <v>14175</v>
      </c>
      <c r="L14" s="217">
        <v>14239</v>
      </c>
      <c r="M14" s="217">
        <v>129301</v>
      </c>
    </row>
    <row r="15" spans="4:13" ht="27" customHeight="1" hidden="1">
      <c r="D15" s="532" t="s">
        <v>1181</v>
      </c>
      <c r="E15" s="388">
        <f>SUM(F15:M15)</f>
        <v>584903</v>
      </c>
      <c r="F15" s="217">
        <v>85311</v>
      </c>
      <c r="G15" s="217">
        <v>2385</v>
      </c>
      <c r="H15" s="217">
        <v>191793</v>
      </c>
      <c r="I15" s="217"/>
      <c r="J15" s="217">
        <v>9033</v>
      </c>
      <c r="K15" s="217">
        <v>33817</v>
      </c>
      <c r="L15" s="217">
        <v>11873</v>
      </c>
      <c r="M15" s="217">
        <v>250691</v>
      </c>
    </row>
    <row r="16" spans="4:13" ht="27" customHeight="1" hidden="1">
      <c r="D16" s="532" t="s">
        <v>1182</v>
      </c>
      <c r="E16" s="388">
        <f>SUM(F16:M16)</f>
        <v>1053394</v>
      </c>
      <c r="F16" s="217">
        <v>406247</v>
      </c>
      <c r="G16" s="217">
        <v>10800</v>
      </c>
      <c r="H16" s="217">
        <v>357367</v>
      </c>
      <c r="I16" s="217"/>
      <c r="J16" s="217">
        <v>17003</v>
      </c>
      <c r="K16" s="217">
        <v>139397</v>
      </c>
      <c r="L16" s="217">
        <v>10480</v>
      </c>
      <c r="M16" s="217">
        <v>112100</v>
      </c>
    </row>
    <row r="17" spans="4:13" ht="27" customHeight="1" hidden="1">
      <c r="D17" s="532" t="s">
        <v>1183</v>
      </c>
      <c r="E17" s="388">
        <f>SUM(F17:M17)</f>
        <v>380922</v>
      </c>
      <c r="F17" s="217">
        <v>83894</v>
      </c>
      <c r="G17" s="217">
        <v>3800</v>
      </c>
      <c r="H17" s="217">
        <v>231305</v>
      </c>
      <c r="I17" s="217"/>
      <c r="J17" s="217">
        <v>17465</v>
      </c>
      <c r="K17" s="217">
        <v>13699</v>
      </c>
      <c r="L17" s="217">
        <v>9277</v>
      </c>
      <c r="M17" s="217">
        <v>21482</v>
      </c>
    </row>
    <row r="18" spans="4:13" ht="30" customHeight="1">
      <c r="D18" s="531" t="s">
        <v>1184</v>
      </c>
      <c r="E18" s="388">
        <v>3001960</v>
      </c>
      <c r="F18" s="217">
        <v>1121936</v>
      </c>
      <c r="G18" s="217">
        <v>13693</v>
      </c>
      <c r="H18" s="217">
        <v>1113557</v>
      </c>
      <c r="I18" s="256">
        <v>0</v>
      </c>
      <c r="J18" s="217">
        <v>64455</v>
      </c>
      <c r="K18" s="217">
        <v>160804</v>
      </c>
      <c r="L18" s="217">
        <v>39832</v>
      </c>
      <c r="M18" s="217">
        <v>487683</v>
      </c>
    </row>
    <row r="19" spans="4:13" ht="27" customHeight="1" hidden="1">
      <c r="D19" s="532" t="s">
        <v>1185</v>
      </c>
      <c r="E19" s="388">
        <f>SUM(F19:M19)</f>
        <v>691133</v>
      </c>
      <c r="F19" s="217">
        <v>75827</v>
      </c>
      <c r="G19" s="217">
        <v>4400</v>
      </c>
      <c r="H19" s="217">
        <v>304758</v>
      </c>
      <c r="I19" s="217"/>
      <c r="J19" s="217">
        <v>18326</v>
      </c>
      <c r="K19" s="217">
        <v>3034</v>
      </c>
      <c r="L19" s="217">
        <v>7335</v>
      </c>
      <c r="M19" s="217">
        <v>277453</v>
      </c>
    </row>
    <row r="20" spans="4:13" ht="27" customHeight="1" hidden="1">
      <c r="D20" s="532" t="s">
        <v>1186</v>
      </c>
      <c r="E20" s="388">
        <f>SUM(F20:M20)</f>
        <v>647998</v>
      </c>
      <c r="F20" s="217">
        <v>137167</v>
      </c>
      <c r="G20" s="217">
        <v>1980</v>
      </c>
      <c r="H20" s="217">
        <v>338914</v>
      </c>
      <c r="I20" s="217"/>
      <c r="J20" s="217">
        <v>11507</v>
      </c>
      <c r="K20" s="217">
        <v>20904</v>
      </c>
      <c r="L20" s="217">
        <v>10491</v>
      </c>
      <c r="M20" s="217">
        <v>127035</v>
      </c>
    </row>
    <row r="21" spans="4:13" ht="27" customHeight="1" hidden="1">
      <c r="D21" s="532" t="s">
        <v>1187</v>
      </c>
      <c r="E21" s="388">
        <f>SUM(F21:M21)</f>
        <v>1320758</v>
      </c>
      <c r="F21" s="217">
        <v>844459</v>
      </c>
      <c r="G21" s="217">
        <v>4100</v>
      </c>
      <c r="H21" s="217">
        <v>248026</v>
      </c>
      <c r="I21" s="217"/>
      <c r="J21" s="217">
        <v>15521</v>
      </c>
      <c r="K21" s="217">
        <v>130968</v>
      </c>
      <c r="L21" s="217">
        <v>11405</v>
      </c>
      <c r="M21" s="217">
        <v>66279</v>
      </c>
    </row>
    <row r="22" spans="4:13" ht="27" customHeight="1" hidden="1">
      <c r="D22" s="532" t="s">
        <v>1188</v>
      </c>
      <c r="E22" s="388">
        <v>340129</v>
      </c>
      <c r="F22" s="217">
        <v>64483</v>
      </c>
      <c r="G22" s="217">
        <v>3213</v>
      </c>
      <c r="H22" s="217">
        <v>221859</v>
      </c>
      <c r="I22" s="217"/>
      <c r="J22" s="217">
        <v>19101</v>
      </c>
      <c r="K22" s="217">
        <v>5898</v>
      </c>
      <c r="L22" s="217">
        <v>8659</v>
      </c>
      <c r="M22" s="217">
        <v>16916</v>
      </c>
    </row>
    <row r="23" spans="4:13" ht="30" customHeight="1">
      <c r="D23" s="531" t="s">
        <v>1189</v>
      </c>
      <c r="E23" s="388">
        <v>2789727</v>
      </c>
      <c r="F23" s="217">
        <v>770976</v>
      </c>
      <c r="G23" s="217">
        <v>14600</v>
      </c>
      <c r="H23" s="217">
        <v>1277710</v>
      </c>
      <c r="I23" s="256">
        <v>0</v>
      </c>
      <c r="J23" s="217">
        <v>95871</v>
      </c>
      <c r="K23" s="217">
        <v>115653</v>
      </c>
      <c r="L23" s="217">
        <v>39417</v>
      </c>
      <c r="M23" s="217">
        <v>475500</v>
      </c>
    </row>
    <row r="24" spans="4:13" ht="27" customHeight="1" hidden="1">
      <c r="D24" s="532" t="s">
        <v>1190</v>
      </c>
      <c r="E24" s="388">
        <v>420918</v>
      </c>
      <c r="F24" s="217">
        <v>69014</v>
      </c>
      <c r="G24" s="217">
        <v>2600</v>
      </c>
      <c r="H24" s="217">
        <v>209259</v>
      </c>
      <c r="I24" s="217"/>
      <c r="J24" s="217">
        <v>20185</v>
      </c>
      <c r="K24" s="217">
        <v>2806</v>
      </c>
      <c r="L24" s="217">
        <v>10414</v>
      </c>
      <c r="M24" s="217">
        <v>106640</v>
      </c>
    </row>
    <row r="25" spans="4:13" ht="27" customHeight="1" hidden="1">
      <c r="D25" s="532" t="s">
        <v>1186</v>
      </c>
      <c r="E25" s="388">
        <v>751124</v>
      </c>
      <c r="F25" s="217">
        <v>103936</v>
      </c>
      <c r="G25" s="217">
        <v>5000</v>
      </c>
      <c r="H25" s="217">
        <v>288757</v>
      </c>
      <c r="I25" s="217"/>
      <c r="J25" s="217">
        <v>21377</v>
      </c>
      <c r="K25" s="217">
        <v>17984</v>
      </c>
      <c r="L25" s="217">
        <v>8666</v>
      </c>
      <c r="M25" s="217">
        <v>305404</v>
      </c>
    </row>
    <row r="26" spans="4:13" ht="27" customHeight="1" hidden="1">
      <c r="D26" s="532" t="s">
        <v>1187</v>
      </c>
      <c r="E26" s="388">
        <f>SUM(F26:M26)</f>
        <v>1159061</v>
      </c>
      <c r="F26" s="217">
        <v>547648</v>
      </c>
      <c r="G26" s="217">
        <v>3500</v>
      </c>
      <c r="H26" s="217">
        <v>429936</v>
      </c>
      <c r="I26" s="217"/>
      <c r="J26" s="217">
        <v>25522</v>
      </c>
      <c r="K26" s="217">
        <v>89824</v>
      </c>
      <c r="L26" s="217">
        <v>10924</v>
      </c>
      <c r="M26" s="217">
        <v>51707</v>
      </c>
    </row>
    <row r="27" spans="4:13" ht="27" customHeight="1" hidden="1">
      <c r="D27" s="532" t="s">
        <v>1188</v>
      </c>
      <c r="E27" s="388">
        <f>SUM(F27:M27)</f>
        <v>458624</v>
      </c>
      <c r="F27" s="217">
        <v>50378</v>
      </c>
      <c r="G27" s="217">
        <v>3500</v>
      </c>
      <c r="H27" s="217">
        <v>349758</v>
      </c>
      <c r="I27" s="217"/>
      <c r="J27" s="217">
        <v>28787</v>
      </c>
      <c r="K27" s="217">
        <v>5039</v>
      </c>
      <c r="L27" s="217">
        <v>9413</v>
      </c>
      <c r="M27" s="217">
        <v>11749</v>
      </c>
    </row>
    <row r="28" spans="4:17" ht="30" customHeight="1">
      <c r="D28" s="531" t="s">
        <v>1191</v>
      </c>
      <c r="E28" s="388">
        <v>3687902</v>
      </c>
      <c r="F28" s="389">
        <v>868588</v>
      </c>
      <c r="G28" s="389">
        <v>15440</v>
      </c>
      <c r="H28" s="389">
        <v>1840928</v>
      </c>
      <c r="I28" s="256">
        <v>0</v>
      </c>
      <c r="J28" s="389">
        <v>116415</v>
      </c>
      <c r="K28" s="389">
        <v>119839</v>
      </c>
      <c r="L28" s="389">
        <v>34836</v>
      </c>
      <c r="M28" s="389">
        <v>691856</v>
      </c>
      <c r="P28" s="95"/>
      <c r="Q28" s="94"/>
    </row>
    <row r="29" spans="4:13" ht="27" customHeight="1" hidden="1">
      <c r="D29" s="532" t="s">
        <v>1190</v>
      </c>
      <c r="E29" s="388">
        <f>SUM(F29:M29)</f>
        <v>545229</v>
      </c>
      <c r="F29" s="217">
        <v>70218</v>
      </c>
      <c r="G29" s="217">
        <v>3460</v>
      </c>
      <c r="H29" s="217">
        <v>327095</v>
      </c>
      <c r="I29" s="217"/>
      <c r="J29" s="217">
        <v>34019</v>
      </c>
      <c r="K29" s="217">
        <v>2596</v>
      </c>
      <c r="L29" s="217">
        <v>9039</v>
      </c>
      <c r="M29" s="217">
        <v>98802</v>
      </c>
    </row>
    <row r="30" spans="4:15" ht="27" customHeight="1" hidden="1">
      <c r="D30" s="532" t="s">
        <v>1186</v>
      </c>
      <c r="E30" s="388">
        <v>792619</v>
      </c>
      <c r="F30" s="217">
        <v>89426</v>
      </c>
      <c r="G30" s="217">
        <v>4700</v>
      </c>
      <c r="H30" s="217">
        <v>409691</v>
      </c>
      <c r="I30" s="217"/>
      <c r="J30" s="217">
        <v>20895</v>
      </c>
      <c r="K30" s="217">
        <v>19480</v>
      </c>
      <c r="L30" s="217">
        <v>9830</v>
      </c>
      <c r="M30" s="217">
        <v>238597</v>
      </c>
      <c r="N30" s="41" t="s">
        <v>1311</v>
      </c>
      <c r="O30" s="96" t="s">
        <v>1312</v>
      </c>
    </row>
    <row r="31" spans="4:15" ht="27" customHeight="1" hidden="1">
      <c r="D31" s="533" t="s">
        <v>1187</v>
      </c>
      <c r="E31" s="217">
        <v>1677405</v>
      </c>
      <c r="F31" s="217">
        <v>613310</v>
      </c>
      <c r="G31" s="217">
        <v>3580</v>
      </c>
      <c r="H31" s="217">
        <v>613445</v>
      </c>
      <c r="I31" s="217"/>
      <c r="J31" s="217">
        <v>23840</v>
      </c>
      <c r="K31" s="217">
        <v>89533</v>
      </c>
      <c r="L31" s="217">
        <v>9188</v>
      </c>
      <c r="M31" s="217">
        <v>324509</v>
      </c>
      <c r="N31" s="51" t="s">
        <v>1313</v>
      </c>
      <c r="O31" s="94">
        <v>1985001</v>
      </c>
    </row>
    <row r="32" spans="4:15" ht="27" customHeight="1" hidden="1">
      <c r="D32" s="533" t="s">
        <v>1188</v>
      </c>
      <c r="E32" s="217">
        <v>672649</v>
      </c>
      <c r="F32" s="217">
        <v>95634</v>
      </c>
      <c r="G32" s="217">
        <v>3700</v>
      </c>
      <c r="H32" s="217">
        <v>490697</v>
      </c>
      <c r="I32" s="217"/>
      <c r="J32" s="217">
        <v>37661</v>
      </c>
      <c r="K32" s="217">
        <v>8230</v>
      </c>
      <c r="L32" s="217">
        <v>6779</v>
      </c>
      <c r="M32" s="217">
        <v>29948</v>
      </c>
      <c r="N32" s="51" t="s">
        <v>1314</v>
      </c>
      <c r="O32" s="94">
        <v>2829536</v>
      </c>
    </row>
    <row r="33" spans="4:15" ht="27" customHeight="1" hidden="1">
      <c r="D33" s="534"/>
      <c r="E33" s="217"/>
      <c r="F33" s="217"/>
      <c r="G33" s="217"/>
      <c r="H33" s="217"/>
      <c r="I33" s="217"/>
      <c r="J33" s="217"/>
      <c r="K33" s="217"/>
      <c r="L33" s="217"/>
      <c r="M33" s="217"/>
      <c r="N33" s="51" t="s">
        <v>1315</v>
      </c>
      <c r="O33" s="94">
        <v>3306964</v>
      </c>
    </row>
    <row r="34" spans="4:13" ht="30" customHeight="1">
      <c r="D34" s="59" t="s">
        <v>1192</v>
      </c>
      <c r="E34" s="217">
        <v>3879764</v>
      </c>
      <c r="F34" s="217">
        <v>560570</v>
      </c>
      <c r="G34" s="217">
        <v>15867</v>
      </c>
      <c r="H34" s="217">
        <v>2544495</v>
      </c>
      <c r="I34" s="256">
        <v>0</v>
      </c>
      <c r="J34" s="217">
        <v>146598</v>
      </c>
      <c r="K34" s="217">
        <v>69961</v>
      </c>
      <c r="L34" s="217">
        <v>38460</v>
      </c>
      <c r="M34" s="217">
        <v>503813</v>
      </c>
    </row>
    <row r="35" spans="4:13" ht="27" customHeight="1" hidden="1">
      <c r="D35" s="533" t="s">
        <v>1190</v>
      </c>
      <c r="E35" s="217">
        <v>745106</v>
      </c>
      <c r="F35" s="217">
        <v>93483</v>
      </c>
      <c r="G35" s="217">
        <v>4020</v>
      </c>
      <c r="H35" s="217">
        <v>532709</v>
      </c>
      <c r="I35" s="256">
        <v>0</v>
      </c>
      <c r="J35" s="217">
        <v>34775</v>
      </c>
      <c r="K35" s="217">
        <v>4004</v>
      </c>
      <c r="L35" s="217">
        <v>10437</v>
      </c>
      <c r="M35" s="217">
        <v>65678</v>
      </c>
    </row>
    <row r="36" spans="4:13" ht="27" customHeight="1" hidden="1">
      <c r="D36" s="533" t="s">
        <v>1186</v>
      </c>
      <c r="E36" s="217">
        <v>1221805</v>
      </c>
      <c r="F36" s="217">
        <v>89106</v>
      </c>
      <c r="G36" s="217">
        <v>5050</v>
      </c>
      <c r="H36" s="217">
        <v>685305</v>
      </c>
      <c r="I36" s="256">
        <v>0</v>
      </c>
      <c r="J36" s="217">
        <v>39371</v>
      </c>
      <c r="K36" s="217">
        <v>22452</v>
      </c>
      <c r="L36" s="217">
        <v>9791</v>
      </c>
      <c r="M36" s="217">
        <v>370730</v>
      </c>
    </row>
    <row r="37" spans="4:13" ht="27" customHeight="1" hidden="1">
      <c r="D37" s="533" t="s">
        <v>1187</v>
      </c>
      <c r="E37" s="217">
        <v>1219198</v>
      </c>
      <c r="F37" s="217">
        <v>337508</v>
      </c>
      <c r="G37" s="217">
        <v>3260</v>
      </c>
      <c r="H37" s="217">
        <v>741723</v>
      </c>
      <c r="I37" s="256">
        <v>0</v>
      </c>
      <c r="J37" s="217">
        <v>33924</v>
      </c>
      <c r="K37" s="217">
        <v>41398</v>
      </c>
      <c r="L37" s="217">
        <v>9381</v>
      </c>
      <c r="M37" s="217">
        <v>52004</v>
      </c>
    </row>
    <row r="38" spans="4:13" ht="27" customHeight="1" hidden="1">
      <c r="D38" s="533" t="s">
        <v>1188</v>
      </c>
      <c r="E38" s="217">
        <v>693655</v>
      </c>
      <c r="F38" s="217">
        <v>40473</v>
      </c>
      <c r="G38" s="217">
        <v>3537</v>
      </c>
      <c r="H38" s="217">
        <v>584758</v>
      </c>
      <c r="I38" s="256">
        <v>0</v>
      </c>
      <c r="J38" s="217">
        <v>38528</v>
      </c>
      <c r="K38" s="217">
        <v>2107</v>
      </c>
      <c r="L38" s="217">
        <v>8851</v>
      </c>
      <c r="M38" s="217">
        <v>15401</v>
      </c>
    </row>
    <row r="39" spans="4:13" ht="30" customHeight="1">
      <c r="D39" s="59" t="s">
        <v>1193</v>
      </c>
      <c r="E39" s="217">
        <v>3148250</v>
      </c>
      <c r="F39" s="217">
        <v>401283</v>
      </c>
      <c r="G39" s="217">
        <v>16038</v>
      </c>
      <c r="H39" s="217">
        <v>1413893</v>
      </c>
      <c r="I39" s="217">
        <v>159931</v>
      </c>
      <c r="J39" s="217">
        <v>223828</v>
      </c>
      <c r="K39" s="217">
        <v>78362</v>
      </c>
      <c r="L39" s="217">
        <v>31456</v>
      </c>
      <c r="M39" s="217">
        <v>823459</v>
      </c>
    </row>
    <row r="40" spans="4:13" ht="27" customHeight="1" hidden="1">
      <c r="D40" s="533" t="s">
        <v>1190</v>
      </c>
      <c r="E40" s="217">
        <v>667229</v>
      </c>
      <c r="F40" s="217">
        <v>44687</v>
      </c>
      <c r="G40" s="217">
        <v>3922</v>
      </c>
      <c r="H40" s="217">
        <v>484631</v>
      </c>
      <c r="I40" s="217">
        <v>34398</v>
      </c>
      <c r="J40" s="217">
        <v>36210</v>
      </c>
      <c r="K40" s="217">
        <v>2281</v>
      </c>
      <c r="L40" s="217">
        <v>11415</v>
      </c>
      <c r="M40" s="217">
        <v>49685</v>
      </c>
    </row>
    <row r="41" spans="4:13" ht="27" customHeight="1" hidden="1">
      <c r="D41" s="533" t="s">
        <v>1194</v>
      </c>
      <c r="E41" s="217">
        <v>1046307</v>
      </c>
      <c r="F41" s="217">
        <v>81417</v>
      </c>
      <c r="G41" s="217">
        <v>5000</v>
      </c>
      <c r="H41" s="217">
        <v>548738</v>
      </c>
      <c r="I41" s="217">
        <v>43604</v>
      </c>
      <c r="J41" s="217">
        <v>57159</v>
      </c>
      <c r="K41" s="217">
        <v>15341</v>
      </c>
      <c r="L41" s="217">
        <v>10513</v>
      </c>
      <c r="M41" s="217">
        <v>284535</v>
      </c>
    </row>
    <row r="42" spans="4:13" ht="27" customHeight="1" hidden="1">
      <c r="D42" s="533" t="s">
        <v>1187</v>
      </c>
      <c r="E42" s="217">
        <v>1222250</v>
      </c>
      <c r="F42" s="217">
        <v>213961</v>
      </c>
      <c r="G42" s="217">
        <v>3720</v>
      </c>
      <c r="H42" s="217">
        <v>380524</v>
      </c>
      <c r="I42" s="217">
        <v>35518</v>
      </c>
      <c r="J42" s="217">
        <v>48168</v>
      </c>
      <c r="K42" s="217">
        <v>58552</v>
      </c>
      <c r="L42" s="217">
        <v>9528</v>
      </c>
      <c r="M42" s="217">
        <v>472279</v>
      </c>
    </row>
    <row r="43" spans="4:13" ht="30.75" customHeight="1" hidden="1">
      <c r="D43" s="533" t="s">
        <v>110</v>
      </c>
      <c r="E43" s="217">
        <v>212464</v>
      </c>
      <c r="F43" s="217">
        <v>61218</v>
      </c>
      <c r="G43" s="217">
        <v>3396</v>
      </c>
      <c r="H43" s="256">
        <v>0</v>
      </c>
      <c r="I43" s="217">
        <v>46411</v>
      </c>
      <c r="J43" s="217">
        <v>82291</v>
      </c>
      <c r="K43" s="217">
        <v>2188</v>
      </c>
      <c r="L43" s="256">
        <v>0</v>
      </c>
      <c r="M43" s="217">
        <v>16960</v>
      </c>
    </row>
    <row r="44" spans="4:13" ht="30" customHeight="1">
      <c r="D44" s="59" t="s">
        <v>1195</v>
      </c>
      <c r="E44" s="217">
        <f>SUM(E45:E48)</f>
        <v>3664113</v>
      </c>
      <c r="F44" s="217">
        <f aca="true" t="shared" si="0" ref="F44:M44">SUM(F45:F48)</f>
        <v>737568</v>
      </c>
      <c r="G44" s="217">
        <f t="shared" si="0"/>
        <v>16578</v>
      </c>
      <c r="H44" s="217">
        <f t="shared" si="0"/>
        <v>1280030</v>
      </c>
      <c r="I44" s="217">
        <f t="shared" si="0"/>
        <v>305463</v>
      </c>
      <c r="J44" s="217">
        <f t="shared" si="0"/>
        <v>261654</v>
      </c>
      <c r="K44" s="217">
        <f t="shared" si="0"/>
        <v>57708</v>
      </c>
      <c r="L44" s="217">
        <f t="shared" si="0"/>
        <v>35952</v>
      </c>
      <c r="M44" s="217">
        <f t="shared" si="0"/>
        <v>969160</v>
      </c>
    </row>
    <row r="45" spans="4:13" ht="30" customHeight="1" hidden="1">
      <c r="D45" s="533" t="s">
        <v>1190</v>
      </c>
      <c r="E45" s="217">
        <v>343824</v>
      </c>
      <c r="F45" s="217">
        <v>69531</v>
      </c>
      <c r="G45" s="217">
        <v>4648</v>
      </c>
      <c r="H45" s="256">
        <v>41419</v>
      </c>
      <c r="I45" s="217">
        <v>42219</v>
      </c>
      <c r="J45" s="217">
        <v>51056</v>
      </c>
      <c r="K45" s="217">
        <v>989</v>
      </c>
      <c r="L45" s="256">
        <v>4116</v>
      </c>
      <c r="M45" s="217">
        <v>129846</v>
      </c>
    </row>
    <row r="46" spans="4:13" s="3" customFormat="1" ht="30" customHeight="1" hidden="1">
      <c r="D46" s="533" t="s">
        <v>1196</v>
      </c>
      <c r="E46" s="217">
        <v>884677</v>
      </c>
      <c r="F46" s="217">
        <v>149856</v>
      </c>
      <c r="G46" s="217">
        <v>5222</v>
      </c>
      <c r="H46" s="256">
        <v>217159</v>
      </c>
      <c r="I46" s="217">
        <v>70774</v>
      </c>
      <c r="J46" s="217">
        <v>70409</v>
      </c>
      <c r="K46" s="217">
        <v>3397</v>
      </c>
      <c r="L46" s="256">
        <v>13415</v>
      </c>
      <c r="M46" s="217">
        <v>354445</v>
      </c>
    </row>
    <row r="47" spans="4:13" s="3" customFormat="1" ht="30" customHeight="1" hidden="1">
      <c r="D47" s="533" t="s">
        <v>1187</v>
      </c>
      <c r="E47" s="217">
        <f>SUM('[3]觀光人次'!B88:B90)</f>
        <v>1720451</v>
      </c>
      <c r="F47" s="217">
        <f>SUM('[3]觀光人次'!C88:C90)</f>
        <v>426805</v>
      </c>
      <c r="G47" s="217">
        <f>SUM('[3]觀光人次'!D88:D90)</f>
        <v>3748</v>
      </c>
      <c r="H47" s="217">
        <f>SUM('[3]觀光人次'!E88:E90)</f>
        <v>594724</v>
      </c>
      <c r="I47" s="217">
        <f>SUM('[3]觀光人次'!F88:F90)</f>
        <v>96587</v>
      </c>
      <c r="J47" s="217">
        <f>SUM('[3]觀光人次'!G88:G90)</f>
        <v>61876</v>
      </c>
      <c r="K47" s="217">
        <f>SUM('[3]觀光人次'!H88:H90)</f>
        <v>51461</v>
      </c>
      <c r="L47" s="217">
        <f>SUM('[3]觀光人次'!I88:I90)</f>
        <v>11835</v>
      </c>
      <c r="M47" s="217">
        <f>SUM('[3]觀光人次'!J88:J90)</f>
        <v>473415</v>
      </c>
    </row>
    <row r="48" spans="4:13" s="3" customFormat="1" ht="30" customHeight="1">
      <c r="D48" s="533" t="s">
        <v>111</v>
      </c>
      <c r="E48" s="217">
        <f>SUM('[12]觀光人次'!B91:B93)</f>
        <v>715161</v>
      </c>
      <c r="F48" s="217">
        <f>SUM('[12]觀光人次'!C91:C93)</f>
        <v>91376</v>
      </c>
      <c r="G48" s="217">
        <f>SUM('[12]觀光人次'!D91:D93)</f>
        <v>2960</v>
      </c>
      <c r="H48" s="217">
        <f>SUM('[12]觀光人次'!E91:E93)</f>
        <v>426728</v>
      </c>
      <c r="I48" s="217">
        <f>SUM('[12]觀光人次'!F91:F93)</f>
        <v>95883</v>
      </c>
      <c r="J48" s="217">
        <f>SUM('[12]觀光人次'!G91:G93)</f>
        <v>78313</v>
      </c>
      <c r="K48" s="217">
        <f>SUM('[12]觀光人次'!H91:H93)</f>
        <v>1861</v>
      </c>
      <c r="L48" s="217">
        <f>SUM('[12]觀光人次'!I91:I93)</f>
        <v>6586</v>
      </c>
      <c r="M48" s="217">
        <f>SUM('[12]觀光人次'!J91:J93)</f>
        <v>11454</v>
      </c>
    </row>
    <row r="49" spans="4:13" ht="30" customHeight="1">
      <c r="D49" s="59" t="s">
        <v>1201</v>
      </c>
      <c r="E49" s="217">
        <f>SUM(E50:E53)</f>
        <v>4201600</v>
      </c>
      <c r="F49" s="217">
        <f aca="true" t="shared" si="1" ref="F49:M49">SUM(F50:F53)</f>
        <v>1040958</v>
      </c>
      <c r="G49" s="217">
        <f t="shared" si="1"/>
        <v>25052</v>
      </c>
      <c r="H49" s="217">
        <f t="shared" si="1"/>
        <v>1917141</v>
      </c>
      <c r="I49" s="217">
        <f t="shared" si="1"/>
        <v>504819</v>
      </c>
      <c r="J49" s="217">
        <f t="shared" si="1"/>
        <v>267305</v>
      </c>
      <c r="K49" s="217">
        <f t="shared" si="1"/>
        <v>59364</v>
      </c>
      <c r="L49" s="217">
        <f t="shared" si="1"/>
        <v>27693</v>
      </c>
      <c r="M49" s="217">
        <f t="shared" si="1"/>
        <v>359268</v>
      </c>
    </row>
    <row r="50" spans="4:13" ht="30" customHeight="1">
      <c r="D50" s="533" t="s">
        <v>1190</v>
      </c>
      <c r="E50" s="217">
        <f>SUM('[15]觀光人次'!B95:B97)</f>
        <v>898850</v>
      </c>
      <c r="F50" s="217">
        <f>SUM('[15]觀光人次'!C95:C97)</f>
        <v>128224</v>
      </c>
      <c r="G50" s="217">
        <f>SUM('[15]觀光人次'!D95:D97)</f>
        <v>3452</v>
      </c>
      <c r="H50" s="256">
        <f>SUM('[15]觀光人次'!E95:E97)</f>
        <v>541517</v>
      </c>
      <c r="I50" s="217">
        <f>SUM('[15]觀光人次'!F95:F97)</f>
        <v>126780</v>
      </c>
      <c r="J50" s="217">
        <f>SUM('[15]觀光人次'!G95:G97)</f>
        <v>58245</v>
      </c>
      <c r="K50" s="217">
        <f>SUM('[15]觀光人次'!H95:H97)</f>
        <v>897</v>
      </c>
      <c r="L50" s="256">
        <f>SUM('[15]觀光人次'!I95:I97)</f>
        <v>6053</v>
      </c>
      <c r="M50" s="217">
        <f>SUM('[15]觀光人次'!J95:J97)</f>
        <v>33682</v>
      </c>
    </row>
    <row r="51" spans="4:13" s="3" customFormat="1" ht="30" customHeight="1">
      <c r="D51" s="533" t="s">
        <v>1196</v>
      </c>
      <c r="E51" s="217">
        <f>SUM('[18]觀光人次'!B98:B100)</f>
        <v>1107637</v>
      </c>
      <c r="F51" s="217">
        <f>SUM('[18]觀光人次'!C98:C100)</f>
        <v>133050</v>
      </c>
      <c r="G51" s="217">
        <f>SUM('[18]觀光人次'!D98:D100)</f>
        <v>8300</v>
      </c>
      <c r="H51" s="256">
        <f>SUM('[18]觀光人次'!E98:E100)</f>
        <v>477255</v>
      </c>
      <c r="I51" s="217">
        <f>SUM('[18]觀光人次'!F98:F100)</f>
        <v>128897</v>
      </c>
      <c r="J51" s="217">
        <f>SUM('[18]觀光人次'!G98:G100)</f>
        <v>81081</v>
      </c>
      <c r="K51" s="217">
        <f>SUM('[18]觀光人次'!H98:H100)</f>
        <v>2944</v>
      </c>
      <c r="L51" s="256">
        <f>SUM('[18]觀光人次'!I98:I100)</f>
        <v>7057</v>
      </c>
      <c r="M51" s="217">
        <f>SUM('[18]觀光人次'!J98:J100)</f>
        <v>269053</v>
      </c>
    </row>
    <row r="52" spans="4:13" s="3" customFormat="1" ht="30" customHeight="1">
      <c r="D52" s="533" t="s">
        <v>1187</v>
      </c>
      <c r="E52" s="217">
        <f>SUM('[20]觀光人次'!B101:B103)</f>
        <v>1604145</v>
      </c>
      <c r="F52" s="217">
        <f>SUM('[20]觀光人次'!C101:C103)</f>
        <v>691267</v>
      </c>
      <c r="G52" s="217">
        <f>SUM('[20]觀光人次'!D101:D103)</f>
        <v>6900</v>
      </c>
      <c r="H52" s="217">
        <f>SUM('[20]觀光人次'!E101:E103)</f>
        <v>594864</v>
      </c>
      <c r="I52" s="217">
        <f>SUM('[20]觀光人次'!F101:F103)</f>
        <v>135821</v>
      </c>
      <c r="J52" s="217">
        <f>SUM('[20]觀光人次'!G101:G103)</f>
        <v>66547</v>
      </c>
      <c r="K52" s="217">
        <f>SUM('[20]觀光人次'!H101:H103)</f>
        <v>54337</v>
      </c>
      <c r="L52" s="217">
        <f>SUM('[20]觀光人次'!I101:I103)</f>
        <v>8176</v>
      </c>
      <c r="M52" s="217">
        <f>SUM('[20]觀光人次'!J101:J103)</f>
        <v>46233</v>
      </c>
    </row>
    <row r="53" spans="4:13" s="3" customFormat="1" ht="30" customHeight="1" thickBot="1">
      <c r="D53" s="533" t="s">
        <v>111</v>
      </c>
      <c r="E53" s="217">
        <f>SUM('[23]觀光人次'!B104:B106)</f>
        <v>590968</v>
      </c>
      <c r="F53" s="217">
        <f>SUM('[23]觀光人次'!C104:C106)</f>
        <v>88417</v>
      </c>
      <c r="G53" s="217">
        <f>SUM('[23]觀光人次'!D104:D106)</f>
        <v>6400</v>
      </c>
      <c r="H53" s="217">
        <f>SUM('[23]觀光人次'!E104:E106)</f>
        <v>303505</v>
      </c>
      <c r="I53" s="217">
        <f>SUM('[23]觀光人次'!F104:F106)</f>
        <v>113321</v>
      </c>
      <c r="J53" s="217">
        <f>SUM('[23]觀光人次'!G104:G106)</f>
        <v>61432</v>
      </c>
      <c r="K53" s="217">
        <f>SUM('[23]觀光人次'!H104:H106)</f>
        <v>1186</v>
      </c>
      <c r="L53" s="217">
        <f>SUM('[23]觀光人次'!I104:I106)</f>
        <v>6407</v>
      </c>
      <c r="M53" s="217">
        <f>SUM('[23]觀光人次'!J104:J106)</f>
        <v>10300</v>
      </c>
    </row>
    <row r="54" spans="4:13" ht="21" customHeight="1" thickBot="1">
      <c r="D54" s="1284" t="s">
        <v>1197</v>
      </c>
      <c r="E54" s="1154">
        <f>(E53-E52)/E52*100</f>
        <v>-63.159938783588764</v>
      </c>
      <c r="F54" s="1151">
        <f aca="true" t="shared" si="2" ref="F54:M54">(F53-F52)/F52*100</f>
        <v>-87.20942848421811</v>
      </c>
      <c r="G54" s="1151">
        <f t="shared" si="2"/>
        <v>-7.246376811594203</v>
      </c>
      <c r="H54" s="1151">
        <f t="shared" si="2"/>
        <v>-48.97909438123672</v>
      </c>
      <c r="I54" s="1151">
        <f t="shared" si="2"/>
        <v>-16.565921322917664</v>
      </c>
      <c r="J54" s="1151">
        <f t="shared" si="2"/>
        <v>-7.686296902940779</v>
      </c>
      <c r="K54" s="1151">
        <f t="shared" si="2"/>
        <v>-97.81732521118207</v>
      </c>
      <c r="L54" s="1151">
        <f t="shared" si="2"/>
        <v>-21.636497064579256</v>
      </c>
      <c r="M54" s="1151">
        <f t="shared" si="2"/>
        <v>-77.72154089070578</v>
      </c>
    </row>
    <row r="55" spans="4:13" ht="30.75" customHeight="1" thickBot="1">
      <c r="D55" s="875"/>
      <c r="E55" s="1154"/>
      <c r="F55" s="1151"/>
      <c r="G55" s="1151"/>
      <c r="H55" s="1151"/>
      <c r="I55" s="1151"/>
      <c r="J55" s="1151"/>
      <c r="K55" s="1151"/>
      <c r="L55" s="1151"/>
      <c r="M55" s="1151"/>
    </row>
    <row r="56" spans="4:13" ht="21.75" customHeight="1" thickBot="1">
      <c r="D56" s="1312" t="s">
        <v>1198</v>
      </c>
      <c r="E56" s="1154">
        <f>(E53-E48)/E48*100</f>
        <v>-17.365740022176823</v>
      </c>
      <c r="F56" s="1151">
        <f aca="true" t="shared" si="3" ref="F56:M56">(F53-F48)/F48*100</f>
        <v>-3.238268254246192</v>
      </c>
      <c r="G56" s="1151">
        <f t="shared" si="3"/>
        <v>116.21621621621621</v>
      </c>
      <c r="H56" s="1151">
        <f t="shared" si="3"/>
        <v>-28.876239665548077</v>
      </c>
      <c r="I56" s="1151">
        <f t="shared" si="3"/>
        <v>18.186748432986036</v>
      </c>
      <c r="J56" s="1151">
        <f t="shared" si="3"/>
        <v>-21.555808103380024</v>
      </c>
      <c r="K56" s="1151">
        <f t="shared" si="3"/>
        <v>-36.27082213863515</v>
      </c>
      <c r="L56" s="1151">
        <f t="shared" si="3"/>
        <v>-2.7178864257515944</v>
      </c>
      <c r="M56" s="1151">
        <f t="shared" si="3"/>
        <v>-10.075082940457483</v>
      </c>
    </row>
    <row r="57" spans="4:13" ht="30.75" customHeight="1" thickBot="1">
      <c r="D57" s="875"/>
      <c r="E57" s="1154"/>
      <c r="F57" s="1151"/>
      <c r="G57" s="1151"/>
      <c r="H57" s="1151"/>
      <c r="I57" s="1151"/>
      <c r="J57" s="1151"/>
      <c r="K57" s="1151"/>
      <c r="L57" s="1151"/>
      <c r="M57" s="1151"/>
    </row>
    <row r="58" spans="2:13" ht="25.5" customHeight="1">
      <c r="B58" s="37"/>
      <c r="C58" s="37"/>
      <c r="D58" s="2" t="s">
        <v>204</v>
      </c>
      <c r="E58" s="426"/>
      <c r="F58" s="117"/>
      <c r="G58" s="117"/>
      <c r="H58" s="117"/>
      <c r="I58" s="117"/>
      <c r="J58" s="117"/>
      <c r="K58" s="426"/>
      <c r="L58" s="117"/>
      <c r="M58" s="117"/>
    </row>
    <row r="59" spans="2:13" ht="51" customHeight="1">
      <c r="B59" s="37" t="s">
        <v>1293</v>
      </c>
      <c r="C59" s="37"/>
      <c r="D59" s="899" t="s">
        <v>1294</v>
      </c>
      <c r="E59" s="899"/>
      <c r="F59" s="899"/>
      <c r="G59" s="899"/>
      <c r="H59" s="899"/>
      <c r="I59" s="899"/>
      <c r="J59" s="899"/>
      <c r="K59" s="899"/>
      <c r="L59" s="899"/>
      <c r="M59" s="899"/>
    </row>
    <row r="60" spans="5:13" ht="16.5">
      <c r="E60" s="480"/>
      <c r="F60" s="480"/>
      <c r="G60" s="480"/>
      <c r="H60" s="480"/>
      <c r="I60" s="480"/>
      <c r="J60" s="480"/>
      <c r="K60" s="480"/>
      <c r="L60" s="480"/>
      <c r="M60" s="480"/>
    </row>
    <row r="61" spans="5:13" ht="16.5">
      <c r="E61" s="480"/>
      <c r="F61" s="480"/>
      <c r="G61" s="480"/>
      <c r="H61" s="480"/>
      <c r="I61" s="480"/>
      <c r="J61" s="480"/>
      <c r="K61" s="480"/>
      <c r="L61" s="480"/>
      <c r="M61" s="480"/>
    </row>
    <row r="62" spans="5:23" ht="16.5">
      <c r="E62" s="480"/>
      <c r="F62" s="480"/>
      <c r="G62" s="480"/>
      <c r="H62" s="480"/>
      <c r="I62" s="480"/>
      <c r="J62" s="480"/>
      <c r="K62" s="480"/>
      <c r="L62" s="480"/>
      <c r="M62" s="480"/>
      <c r="O62" s="10"/>
      <c r="P62" s="95" t="s">
        <v>1316</v>
      </c>
      <c r="Q62" s="95" t="s">
        <v>1317</v>
      </c>
      <c r="R62" t="s">
        <v>217</v>
      </c>
      <c r="S62" t="s">
        <v>216</v>
      </c>
      <c r="T62" t="s">
        <v>215</v>
      </c>
      <c r="U62" s="95" t="s">
        <v>1318</v>
      </c>
      <c r="V62" s="95" t="s">
        <v>1319</v>
      </c>
      <c r="W62" s="95" t="s">
        <v>1320</v>
      </c>
    </row>
    <row r="63" spans="5:24" ht="16.5">
      <c r="E63" s="480"/>
      <c r="F63" s="480"/>
      <c r="G63" s="480"/>
      <c r="H63" s="480"/>
      <c r="I63" s="480"/>
      <c r="J63" s="480"/>
      <c r="K63" s="480"/>
      <c r="L63" s="480"/>
      <c r="M63" s="480"/>
      <c r="N63" t="s">
        <v>214</v>
      </c>
      <c r="O63" s="10">
        <v>3306964</v>
      </c>
      <c r="P63" s="576">
        <f>F53</f>
        <v>88417</v>
      </c>
      <c r="Q63" s="576">
        <f aca="true" t="shared" si="4" ref="Q63:W63">G53</f>
        <v>6400</v>
      </c>
      <c r="R63" s="576">
        <f t="shared" si="4"/>
        <v>303505</v>
      </c>
      <c r="S63" s="576">
        <f t="shared" si="4"/>
        <v>113321</v>
      </c>
      <c r="T63" s="576">
        <f t="shared" si="4"/>
        <v>61432</v>
      </c>
      <c r="U63" s="576">
        <f t="shared" si="4"/>
        <v>1186</v>
      </c>
      <c r="V63" s="576">
        <f t="shared" si="4"/>
        <v>6407</v>
      </c>
      <c r="W63" s="576">
        <f t="shared" si="4"/>
        <v>10300</v>
      </c>
      <c r="X63" s="577">
        <f>SUM(P63:W63)</f>
        <v>590968</v>
      </c>
    </row>
    <row r="64" spans="5:24" ht="16.5">
      <c r="E64" s="480"/>
      <c r="F64" s="480"/>
      <c r="G64" s="480"/>
      <c r="H64" s="480"/>
      <c r="I64" s="480"/>
      <c r="J64" s="480"/>
      <c r="K64" s="480"/>
      <c r="L64" s="480"/>
      <c r="M64" s="480"/>
      <c r="N64" t="s">
        <v>232</v>
      </c>
      <c r="O64" s="10">
        <v>3388581</v>
      </c>
      <c r="P64" s="578">
        <f>P63/$X$63</f>
        <v>0.14961385388041315</v>
      </c>
      <c r="Q64" s="578">
        <f aca="true" t="shared" si="5" ref="Q64:W64">Q63/$X$63</f>
        <v>0.010829689594022012</v>
      </c>
      <c r="R64" s="578">
        <f t="shared" si="5"/>
        <v>0.513572646911508</v>
      </c>
      <c r="S64" s="578">
        <f t="shared" si="5"/>
        <v>0.19175488351315131</v>
      </c>
      <c r="T64" s="578">
        <f t="shared" si="5"/>
        <v>0.10395148299061878</v>
      </c>
      <c r="U64" s="578">
        <f t="shared" si="5"/>
        <v>0.002006876852892204</v>
      </c>
      <c r="V64" s="578">
        <f t="shared" si="5"/>
        <v>0.010841534567015473</v>
      </c>
      <c r="W64" s="578">
        <f t="shared" si="5"/>
        <v>0.017429031690379175</v>
      </c>
      <c r="X64" s="578">
        <f>SUM(P64:W64)</f>
        <v>0.9999999999999999</v>
      </c>
    </row>
    <row r="65" spans="5:18" ht="16.5">
      <c r="E65" s="117"/>
      <c r="F65" s="117"/>
      <c r="G65" s="117"/>
      <c r="H65" s="117"/>
      <c r="I65" s="117"/>
      <c r="J65" s="117"/>
      <c r="K65" s="117"/>
      <c r="L65" s="117"/>
      <c r="M65" s="117"/>
      <c r="N65" s="51" t="s">
        <v>233</v>
      </c>
      <c r="O65" s="94">
        <v>2656877</v>
      </c>
      <c r="Q65" s="94"/>
      <c r="R65" s="133"/>
    </row>
    <row r="66" spans="5:18" ht="16.5">
      <c r="E66" s="117"/>
      <c r="F66" s="117"/>
      <c r="G66" s="117"/>
      <c r="H66" s="117"/>
      <c r="I66" s="117"/>
      <c r="J66" s="117"/>
      <c r="K66" s="117"/>
      <c r="L66" s="117"/>
      <c r="M66" s="117"/>
      <c r="N66" s="51" t="s">
        <v>234</v>
      </c>
      <c r="O66" s="10">
        <v>3001960</v>
      </c>
      <c r="Q66" s="94"/>
      <c r="R66" s="133"/>
    </row>
    <row r="67" spans="14:18" ht="16.5">
      <c r="N67" s="51" t="s">
        <v>235</v>
      </c>
      <c r="O67" s="10">
        <v>2789727</v>
      </c>
      <c r="Q67" s="94"/>
      <c r="R67" s="133"/>
    </row>
    <row r="68" spans="14:18" ht="16.5">
      <c r="N68" s="51" t="s">
        <v>236</v>
      </c>
      <c r="O68" s="10">
        <v>3687902</v>
      </c>
      <c r="Q68" s="94"/>
      <c r="R68" s="133"/>
    </row>
    <row r="69" spans="14:18" ht="16.5">
      <c r="N69" s="97" t="s">
        <v>1321</v>
      </c>
      <c r="O69" s="24">
        <v>3879764</v>
      </c>
      <c r="Q69" s="94"/>
      <c r="R69" s="133"/>
    </row>
    <row r="70" spans="14:18" ht="16.5">
      <c r="N70" s="97" t="s">
        <v>1323</v>
      </c>
      <c r="O70" s="94">
        <v>3148250</v>
      </c>
      <c r="Q70" s="94"/>
      <c r="R70" s="133"/>
    </row>
    <row r="71" spans="14:18" ht="16.5">
      <c r="N71" s="97" t="s">
        <v>1200</v>
      </c>
      <c r="O71" s="94">
        <v>3664113</v>
      </c>
      <c r="Q71" s="94"/>
      <c r="R71" s="133"/>
    </row>
    <row r="72" spans="14:18" ht="16.5">
      <c r="N72" s="97" t="s">
        <v>237</v>
      </c>
      <c r="O72" s="10">
        <v>4201600</v>
      </c>
      <c r="Q72" s="28"/>
      <c r="R72" s="133"/>
    </row>
    <row r="237" ht="24.75" customHeight="1"/>
  </sheetData>
  <mergeCells count="23">
    <mergeCell ref="D59:M59"/>
    <mergeCell ref="M54:M55"/>
    <mergeCell ref="E56:E57"/>
    <mergeCell ref="F56:F57"/>
    <mergeCell ref="G56:G57"/>
    <mergeCell ref="H56:H57"/>
    <mergeCell ref="J56:J57"/>
    <mergeCell ref="D54:D55"/>
    <mergeCell ref="D1:M1"/>
    <mergeCell ref="D56:D57"/>
    <mergeCell ref="L56:L57"/>
    <mergeCell ref="M56:M57"/>
    <mergeCell ref="H54:H55"/>
    <mergeCell ref="J54:J55"/>
    <mergeCell ref="K54:K55"/>
    <mergeCell ref="G54:G55"/>
    <mergeCell ref="L54:L55"/>
    <mergeCell ref="F54:F55"/>
    <mergeCell ref="L2:M2"/>
    <mergeCell ref="I54:I55"/>
    <mergeCell ref="K56:K57"/>
    <mergeCell ref="E54:E55"/>
    <mergeCell ref="I56:I57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geOrder="overThenDown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94"/>
  <sheetViews>
    <sheetView workbookViewId="0" topLeftCell="A1">
      <selection activeCell="E94" sqref="E94"/>
    </sheetView>
  </sheetViews>
  <sheetFormatPr defaultColWidth="9.00390625" defaultRowHeight="16.5"/>
  <cols>
    <col min="1" max="1" width="2.625" style="3" customWidth="1"/>
    <col min="2" max="10" width="9.50390625" style="3" customWidth="1"/>
    <col min="11" max="11" width="2.625" style="3" customWidth="1"/>
    <col min="12" max="16384" width="9.00390625" style="3" customWidth="1"/>
  </cols>
  <sheetData>
    <row r="1" spans="1:11" s="157" customFormat="1" ht="49.5" customHeight="1">
      <c r="A1" s="869" t="s">
        <v>145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</row>
    <row r="2" spans="2:10" ht="18.75" customHeight="1">
      <c r="B2" s="907" t="s">
        <v>146</v>
      </c>
      <c r="C2" s="1299"/>
      <c r="D2" s="1299"/>
      <c r="E2" s="1299"/>
      <c r="F2" s="1299"/>
      <c r="G2" s="1299"/>
      <c r="H2" s="1299"/>
      <c r="I2" s="1299"/>
      <c r="J2" s="1299"/>
    </row>
    <row r="3" spans="2:20" ht="18.75">
      <c r="B3" s="1299"/>
      <c r="C3" s="1299"/>
      <c r="D3" s="1299"/>
      <c r="E3" s="1299"/>
      <c r="F3" s="1299"/>
      <c r="G3" s="1299"/>
      <c r="H3" s="1299"/>
      <c r="I3" s="1299"/>
      <c r="J3" s="1299"/>
      <c r="L3" s="1313"/>
      <c r="M3" s="1313"/>
      <c r="N3" s="1313"/>
      <c r="O3" s="1313"/>
      <c r="P3" s="1313"/>
      <c r="Q3" s="1313"/>
      <c r="R3" s="1313"/>
      <c r="S3" s="1313"/>
      <c r="T3" s="1313"/>
    </row>
    <row r="4" spans="2:20" ht="19.5">
      <c r="B4" s="1299"/>
      <c r="C4" s="1299"/>
      <c r="D4" s="1299"/>
      <c r="E4" s="1299"/>
      <c r="F4" s="1299"/>
      <c r="G4" s="1299"/>
      <c r="H4" s="1299"/>
      <c r="I4" s="1299"/>
      <c r="J4" s="1299"/>
      <c r="L4" s="1313" t="s">
        <v>147</v>
      </c>
      <c r="M4" s="1313"/>
      <c r="N4" s="1313"/>
      <c r="O4" s="1313"/>
      <c r="P4" s="1313"/>
      <c r="Q4" s="1313"/>
      <c r="R4" s="1313"/>
      <c r="S4" s="1313"/>
      <c r="T4" s="1313"/>
    </row>
    <row r="5" spans="2:20" ht="18.75">
      <c r="B5" s="1299"/>
      <c r="C5" s="1299"/>
      <c r="D5" s="1299"/>
      <c r="E5" s="1299"/>
      <c r="F5" s="1299"/>
      <c r="G5" s="1299"/>
      <c r="H5" s="1299"/>
      <c r="I5" s="1299"/>
      <c r="J5" s="1299"/>
      <c r="L5" s="1314"/>
      <c r="M5" s="1314"/>
      <c r="N5" s="1314"/>
      <c r="O5" s="1314"/>
      <c r="P5" s="1314"/>
      <c r="Q5" s="1314"/>
      <c r="R5" s="1314"/>
      <c r="S5" s="1314"/>
      <c r="T5" s="1314"/>
    </row>
    <row r="6" spans="2:20" ht="18.75">
      <c r="B6" s="1299"/>
      <c r="C6" s="1299"/>
      <c r="D6" s="1299"/>
      <c r="E6" s="1299"/>
      <c r="F6" s="1299"/>
      <c r="G6" s="1299"/>
      <c r="H6" s="1299"/>
      <c r="I6" s="1299"/>
      <c r="J6" s="1299"/>
      <c r="L6" s="1313" t="s">
        <v>148</v>
      </c>
      <c r="M6" s="1313"/>
      <c r="N6" s="1313"/>
      <c r="O6" s="1313"/>
      <c r="P6" s="1313"/>
      <c r="Q6" s="1313"/>
      <c r="R6" s="1313"/>
      <c r="S6" s="1313"/>
      <c r="T6" s="1313"/>
    </row>
    <row r="7" spans="2:10" ht="43.5" customHeight="1">
      <c r="B7" s="1299"/>
      <c r="C7" s="1299"/>
      <c r="D7" s="1299"/>
      <c r="E7" s="1299"/>
      <c r="F7" s="1299"/>
      <c r="G7" s="1299"/>
      <c r="H7" s="1299"/>
      <c r="I7" s="1299"/>
      <c r="J7" s="1299"/>
    </row>
    <row r="8" spans="2:10" ht="18.75">
      <c r="B8" s="1313" t="s">
        <v>149</v>
      </c>
      <c r="C8" s="1313"/>
      <c r="D8" s="1313"/>
      <c r="E8" s="1313"/>
      <c r="F8" s="1313"/>
      <c r="G8" s="1313"/>
      <c r="H8" s="1313"/>
      <c r="I8" s="1313"/>
      <c r="J8" s="1313"/>
    </row>
    <row r="47" spans="1:11" ht="59.25" customHeight="1">
      <c r="A47" s="899" t="s">
        <v>150</v>
      </c>
      <c r="B47" s="899"/>
      <c r="C47" s="899"/>
      <c r="D47" s="899"/>
      <c r="E47" s="899"/>
      <c r="F47" s="899"/>
      <c r="G47" s="899"/>
      <c r="H47" s="899"/>
      <c r="I47" s="899"/>
      <c r="J47" s="899"/>
      <c r="K47" s="899"/>
    </row>
    <row r="48" spans="1:11" ht="24.75" customHeight="1">
      <c r="A48" s="1327" t="s">
        <v>151</v>
      </c>
      <c r="B48" s="1327"/>
      <c r="C48" s="1327"/>
      <c r="D48" s="1327"/>
      <c r="E48" s="1327"/>
      <c r="F48" s="1327"/>
      <c r="G48" s="1327"/>
      <c r="H48" s="1327"/>
      <c r="I48" s="1327"/>
      <c r="J48" s="1327"/>
      <c r="K48" s="1327"/>
    </row>
    <row r="49" spans="1:11" ht="24.75" customHeight="1" thickBot="1">
      <c r="A49" s="1325" t="s">
        <v>152</v>
      </c>
      <c r="B49" s="1325"/>
      <c r="C49" s="1325"/>
      <c r="D49" s="1325"/>
      <c r="E49" s="1325"/>
      <c r="F49" s="1325"/>
      <c r="G49" s="1325"/>
      <c r="H49" s="1325"/>
      <c r="I49" s="1325"/>
      <c r="J49" s="1325"/>
      <c r="K49" s="1325"/>
    </row>
    <row r="50" spans="2:10" ht="19.5" customHeight="1">
      <c r="B50" s="1321" t="s">
        <v>153</v>
      </c>
      <c r="C50" s="1323" t="s">
        <v>154</v>
      </c>
      <c r="D50" s="1324"/>
      <c r="E50" s="1206" t="s">
        <v>155</v>
      </c>
      <c r="F50" s="1271"/>
      <c r="G50" s="1271"/>
      <c r="H50" s="1271"/>
      <c r="I50" s="1271"/>
      <c r="J50" s="1271"/>
    </row>
    <row r="51" spans="2:10" ht="27.75" customHeight="1">
      <c r="B51" s="1322"/>
      <c r="C51" s="1326" t="s">
        <v>156</v>
      </c>
      <c r="D51" s="1135"/>
      <c r="E51" s="984" t="s">
        <v>157</v>
      </c>
      <c r="F51" s="985"/>
      <c r="G51" s="985"/>
      <c r="H51" s="985"/>
      <c r="I51" s="985"/>
      <c r="J51" s="985"/>
    </row>
    <row r="52" spans="2:10" ht="19.5" customHeight="1">
      <c r="B52" s="952" t="s">
        <v>158</v>
      </c>
      <c r="C52" s="251" t="s">
        <v>159</v>
      </c>
      <c r="D52" s="251" t="s">
        <v>160</v>
      </c>
      <c r="E52" s="251" t="s">
        <v>161</v>
      </c>
      <c r="F52" s="251" t="s">
        <v>162</v>
      </c>
      <c r="G52" s="251" t="s">
        <v>163</v>
      </c>
      <c r="H52" s="251" t="s">
        <v>164</v>
      </c>
      <c r="I52" s="251" t="s">
        <v>165</v>
      </c>
      <c r="J52" s="252" t="s">
        <v>166</v>
      </c>
    </row>
    <row r="53" spans="2:10" ht="31.5" customHeight="1" thickBot="1">
      <c r="B53" s="1200"/>
      <c r="C53" s="253" t="s">
        <v>934</v>
      </c>
      <c r="D53" s="151" t="s">
        <v>935</v>
      </c>
      <c r="E53" s="151" t="s">
        <v>936</v>
      </c>
      <c r="F53" s="151" t="s">
        <v>167</v>
      </c>
      <c r="G53" s="151" t="s">
        <v>168</v>
      </c>
      <c r="H53" s="151" t="s">
        <v>169</v>
      </c>
      <c r="I53" s="151" t="s">
        <v>170</v>
      </c>
      <c r="J53" s="181" t="s">
        <v>171</v>
      </c>
    </row>
    <row r="54" spans="2:10" s="157" customFormat="1" ht="31.5" customHeight="1" hidden="1">
      <c r="B54" s="67" t="s">
        <v>172</v>
      </c>
      <c r="C54" s="254">
        <v>1139</v>
      </c>
      <c r="D54" s="254">
        <v>45287</v>
      </c>
      <c r="E54" s="254">
        <f>SUM(F54:J54)</f>
        <v>106116</v>
      </c>
      <c r="F54" s="254">
        <v>1089</v>
      </c>
      <c r="G54" s="254">
        <v>97195</v>
      </c>
      <c r="H54" s="254">
        <v>3208</v>
      </c>
      <c r="I54" s="254">
        <v>4607</v>
      </c>
      <c r="J54" s="254">
        <v>17</v>
      </c>
    </row>
    <row r="55" spans="2:10" s="157" customFormat="1" ht="31.5" customHeight="1">
      <c r="B55" s="67" t="s">
        <v>173</v>
      </c>
      <c r="C55" s="254">
        <v>1131</v>
      </c>
      <c r="D55" s="254">
        <v>45559</v>
      </c>
      <c r="E55" s="254">
        <f>SUM(F55:J55)</f>
        <v>64672</v>
      </c>
      <c r="F55" s="254">
        <v>831</v>
      </c>
      <c r="G55" s="254">
        <v>55873</v>
      </c>
      <c r="H55" s="254">
        <v>3944</v>
      </c>
      <c r="I55" s="254">
        <v>4008</v>
      </c>
      <c r="J55" s="254">
        <v>16</v>
      </c>
    </row>
    <row r="56" spans="2:10" s="157" customFormat="1" ht="31.5" customHeight="1">
      <c r="B56" s="67" t="s">
        <v>174</v>
      </c>
      <c r="C56" s="254">
        <v>1108</v>
      </c>
      <c r="D56" s="254">
        <v>44896</v>
      </c>
      <c r="E56" s="254">
        <f>SUM(F56:J56)</f>
        <v>62650</v>
      </c>
      <c r="F56" s="254">
        <v>367</v>
      </c>
      <c r="G56" s="254">
        <v>51272</v>
      </c>
      <c r="H56" s="254">
        <v>6005</v>
      </c>
      <c r="I56" s="254">
        <v>4991</v>
      </c>
      <c r="J56" s="254">
        <v>15</v>
      </c>
    </row>
    <row r="57" spans="2:10" s="157" customFormat="1" ht="31.5" customHeight="1">
      <c r="B57" s="67" t="s">
        <v>175</v>
      </c>
      <c r="C57" s="254">
        <v>1062</v>
      </c>
      <c r="D57" s="254">
        <v>43349</v>
      </c>
      <c r="E57" s="254">
        <f>SUM(F57:J57)</f>
        <v>85763</v>
      </c>
      <c r="F57" s="254">
        <v>803</v>
      </c>
      <c r="G57" s="254">
        <v>73458</v>
      </c>
      <c r="H57" s="254">
        <v>3938</v>
      </c>
      <c r="I57" s="254">
        <v>7546</v>
      </c>
      <c r="J57" s="254">
        <v>18</v>
      </c>
    </row>
    <row r="58" spans="2:10" s="157" customFormat="1" ht="31.5" customHeight="1">
      <c r="B58" s="67" t="s">
        <v>176</v>
      </c>
      <c r="C58" s="254">
        <v>1022</v>
      </c>
      <c r="D58" s="254">
        <v>41593</v>
      </c>
      <c r="E58" s="254">
        <f>SUM(F58:J58)</f>
        <v>107339</v>
      </c>
      <c r="F58" s="254">
        <v>7540</v>
      </c>
      <c r="G58" s="254">
        <v>88698</v>
      </c>
      <c r="H58" s="254">
        <v>7373</v>
      </c>
      <c r="I58" s="254">
        <v>3711</v>
      </c>
      <c r="J58" s="254">
        <v>17</v>
      </c>
    </row>
    <row r="59" spans="2:11" s="157" customFormat="1" ht="31.5" customHeight="1">
      <c r="B59" s="67" t="s">
        <v>177</v>
      </c>
      <c r="C59" s="254">
        <v>1019</v>
      </c>
      <c r="D59" s="254">
        <v>41356</v>
      </c>
      <c r="E59" s="254">
        <v>109443</v>
      </c>
      <c r="F59" s="254">
        <v>5805</v>
      </c>
      <c r="G59" s="254">
        <v>95288</v>
      </c>
      <c r="H59" s="254">
        <v>5813</v>
      </c>
      <c r="I59" s="254">
        <v>2520</v>
      </c>
      <c r="J59" s="254">
        <v>17</v>
      </c>
      <c r="K59" s="255"/>
    </row>
    <row r="60" spans="2:12" s="157" customFormat="1" ht="31.5" customHeight="1">
      <c r="B60" s="67" t="s">
        <v>178</v>
      </c>
      <c r="C60" s="254">
        <v>1109</v>
      </c>
      <c r="D60" s="254">
        <v>44375</v>
      </c>
      <c r="E60" s="254">
        <v>122616</v>
      </c>
      <c r="F60" s="254">
        <v>7911</v>
      </c>
      <c r="G60" s="254">
        <v>104729</v>
      </c>
      <c r="H60" s="254">
        <v>7533</v>
      </c>
      <c r="I60" s="254">
        <v>2424</v>
      </c>
      <c r="J60" s="254">
        <v>19</v>
      </c>
      <c r="L60" s="255"/>
    </row>
    <row r="61" spans="2:12" s="157" customFormat="1" ht="31.5" customHeight="1">
      <c r="B61" s="67" t="s">
        <v>179</v>
      </c>
      <c r="C61" s="254">
        <v>1081</v>
      </c>
      <c r="D61" s="254">
        <v>45552</v>
      </c>
      <c r="E61" s="254">
        <v>99323</v>
      </c>
      <c r="F61" s="254">
        <v>2272</v>
      </c>
      <c r="G61" s="254">
        <v>84054</v>
      </c>
      <c r="H61" s="254">
        <v>7782</v>
      </c>
      <c r="I61" s="254">
        <v>5204</v>
      </c>
      <c r="J61" s="254">
        <v>11</v>
      </c>
      <c r="L61" s="255"/>
    </row>
    <row r="62" spans="2:12" s="157" customFormat="1" ht="31.5" customHeight="1">
      <c r="B62" s="67" t="s">
        <v>180</v>
      </c>
      <c r="C62" s="254">
        <v>1092</v>
      </c>
      <c r="D62" s="254">
        <v>46292</v>
      </c>
      <c r="E62" s="254">
        <v>93256</v>
      </c>
      <c r="F62" s="254">
        <v>5818</v>
      </c>
      <c r="G62" s="254">
        <v>71423</v>
      </c>
      <c r="H62" s="254">
        <v>8582</v>
      </c>
      <c r="I62" s="254">
        <v>7433</v>
      </c>
      <c r="J62" s="256">
        <v>0</v>
      </c>
      <c r="L62" s="255"/>
    </row>
    <row r="63" spans="2:12" s="157" customFormat="1" ht="31.5" customHeight="1">
      <c r="B63" s="67" t="s">
        <v>181</v>
      </c>
      <c r="C63" s="254">
        <f>C67</f>
        <v>1066</v>
      </c>
      <c r="D63" s="254">
        <f>D67</f>
        <v>42837</v>
      </c>
      <c r="E63" s="254">
        <v>98053</v>
      </c>
      <c r="F63" s="254">
        <v>5983</v>
      </c>
      <c r="G63" s="254">
        <v>79008</v>
      </c>
      <c r="H63" s="254">
        <v>7308</v>
      </c>
      <c r="I63" s="254">
        <v>5752</v>
      </c>
      <c r="J63" s="256">
        <v>2</v>
      </c>
      <c r="L63" s="255"/>
    </row>
    <row r="64" spans="2:12" s="157" customFormat="1" ht="30" customHeight="1" hidden="1">
      <c r="B64" s="67" t="s">
        <v>182</v>
      </c>
      <c r="C64" s="254">
        <v>1076</v>
      </c>
      <c r="D64" s="254">
        <v>44622</v>
      </c>
      <c r="E64" s="254">
        <f>SUM(F64:J64)</f>
        <v>17558</v>
      </c>
      <c r="F64" s="254">
        <v>1221</v>
      </c>
      <c r="G64" s="254">
        <v>14098</v>
      </c>
      <c r="H64" s="254">
        <v>1109</v>
      </c>
      <c r="I64" s="254">
        <v>1130</v>
      </c>
      <c r="J64" s="257">
        <v>0</v>
      </c>
      <c r="L64" s="255"/>
    </row>
    <row r="65" spans="2:12" s="157" customFormat="1" ht="30" customHeight="1" hidden="1">
      <c r="B65" s="67" t="s">
        <v>183</v>
      </c>
      <c r="C65" s="254">
        <v>1078</v>
      </c>
      <c r="D65" s="254">
        <v>44790</v>
      </c>
      <c r="E65" s="254">
        <f>SUM(F65:J65)</f>
        <v>24617</v>
      </c>
      <c r="F65" s="254">
        <v>1894</v>
      </c>
      <c r="G65" s="254">
        <v>18934</v>
      </c>
      <c r="H65" s="254">
        <v>2024</v>
      </c>
      <c r="I65" s="254">
        <v>1764</v>
      </c>
      <c r="J65" s="257">
        <v>1</v>
      </c>
      <c r="L65" s="255"/>
    </row>
    <row r="66" spans="2:12" s="157" customFormat="1" ht="31.5" customHeight="1" hidden="1">
      <c r="B66" s="258" t="s">
        <v>184</v>
      </c>
      <c r="C66" s="254">
        <v>1068</v>
      </c>
      <c r="D66" s="254">
        <v>43031</v>
      </c>
      <c r="E66" s="254">
        <f>SUM(F66:J66)</f>
        <v>31904</v>
      </c>
      <c r="F66" s="254">
        <v>1508</v>
      </c>
      <c r="G66" s="254">
        <v>25437</v>
      </c>
      <c r="H66" s="254">
        <v>2336</v>
      </c>
      <c r="I66" s="254">
        <v>2622</v>
      </c>
      <c r="J66" s="257">
        <v>1</v>
      </c>
      <c r="L66" s="255"/>
    </row>
    <row r="67" spans="2:12" s="157" customFormat="1" ht="31.5" customHeight="1" hidden="1">
      <c r="B67" s="258" t="s">
        <v>185</v>
      </c>
      <c r="C67" s="254">
        <v>1066</v>
      </c>
      <c r="D67" s="254">
        <v>42837</v>
      </c>
      <c r="E67" s="254">
        <f>SUM(F67:J67)</f>
        <v>24700</v>
      </c>
      <c r="F67" s="254">
        <v>1360</v>
      </c>
      <c r="G67" s="254">
        <v>20539</v>
      </c>
      <c r="H67" s="254">
        <v>1839</v>
      </c>
      <c r="I67" s="254">
        <v>962</v>
      </c>
      <c r="J67" s="256">
        <v>0</v>
      </c>
      <c r="L67" s="255"/>
    </row>
    <row r="68" spans="2:12" s="157" customFormat="1" ht="31.5" customHeight="1">
      <c r="B68" s="67" t="s">
        <v>186</v>
      </c>
      <c r="C68" s="254">
        <f>C72</f>
        <v>1058</v>
      </c>
      <c r="D68" s="254">
        <f>D72</f>
        <v>42856</v>
      </c>
      <c r="E68" s="254">
        <v>103743</v>
      </c>
      <c r="F68" s="254">
        <v>5739</v>
      </c>
      <c r="G68" s="254">
        <v>87964</v>
      </c>
      <c r="H68" s="254">
        <v>6504</v>
      </c>
      <c r="I68" s="254">
        <v>3536</v>
      </c>
      <c r="J68" s="256">
        <v>0</v>
      </c>
      <c r="L68" s="255"/>
    </row>
    <row r="69" spans="2:12" s="157" customFormat="1" ht="31.5" customHeight="1" hidden="1">
      <c r="B69" s="258" t="s">
        <v>182</v>
      </c>
      <c r="C69" s="254">
        <v>1062</v>
      </c>
      <c r="D69" s="254">
        <v>42494</v>
      </c>
      <c r="E69" s="254">
        <f>SUM(F69:J69)</f>
        <v>24711</v>
      </c>
      <c r="F69" s="254">
        <v>1201</v>
      </c>
      <c r="G69" s="254">
        <v>22088</v>
      </c>
      <c r="H69" s="254">
        <v>802</v>
      </c>
      <c r="I69" s="254">
        <v>620</v>
      </c>
      <c r="J69" s="256">
        <v>0</v>
      </c>
      <c r="L69" s="255"/>
    </row>
    <row r="70" spans="2:12" s="157" customFormat="1" ht="31.5" customHeight="1" hidden="1">
      <c r="B70" s="258" t="s">
        <v>187</v>
      </c>
      <c r="C70" s="254">
        <v>1048</v>
      </c>
      <c r="D70" s="254">
        <v>42256</v>
      </c>
      <c r="E70" s="254">
        <f>SUM(F70:J70)</f>
        <v>23660</v>
      </c>
      <c r="F70" s="254">
        <v>1222</v>
      </c>
      <c r="G70" s="254">
        <v>17401</v>
      </c>
      <c r="H70" s="254">
        <v>4074</v>
      </c>
      <c r="I70" s="254">
        <v>963</v>
      </c>
      <c r="J70" s="256">
        <v>0</v>
      </c>
      <c r="L70" s="255"/>
    </row>
    <row r="71" spans="2:12" s="157" customFormat="1" ht="31.5" customHeight="1" hidden="1">
      <c r="B71" s="258" t="s">
        <v>188</v>
      </c>
      <c r="C71" s="254">
        <v>1050</v>
      </c>
      <c r="D71" s="254">
        <v>42409.58</v>
      </c>
      <c r="E71" s="254">
        <f>SUM(F71:J71)</f>
        <v>32918.42</v>
      </c>
      <c r="F71" s="254">
        <v>1572.45</v>
      </c>
      <c r="G71" s="254">
        <v>29620</v>
      </c>
      <c r="H71" s="254">
        <v>605.39</v>
      </c>
      <c r="I71" s="254">
        <v>1120.58</v>
      </c>
      <c r="J71" s="256">
        <v>0</v>
      </c>
      <c r="L71" s="255"/>
    </row>
    <row r="72" spans="2:12" s="157" customFormat="1" ht="31.5" customHeight="1">
      <c r="B72" s="258" t="s">
        <v>185</v>
      </c>
      <c r="C72" s="254">
        <v>1058</v>
      </c>
      <c r="D72" s="254">
        <v>42856</v>
      </c>
      <c r="E72" s="254">
        <f>SUM(F72:J72)</f>
        <v>22454</v>
      </c>
      <c r="F72" s="254">
        <v>1744</v>
      </c>
      <c r="G72" s="254">
        <v>18855</v>
      </c>
      <c r="H72" s="254">
        <v>1023</v>
      </c>
      <c r="I72" s="254">
        <v>832</v>
      </c>
      <c r="J72" s="256">
        <v>0</v>
      </c>
      <c r="L72" s="255"/>
    </row>
    <row r="73" spans="2:12" s="157" customFormat="1" ht="31.5" customHeight="1">
      <c r="B73" s="67" t="s">
        <v>189</v>
      </c>
      <c r="C73" s="254"/>
      <c r="D73" s="254"/>
      <c r="E73" s="254"/>
      <c r="F73" s="254"/>
      <c r="G73" s="254"/>
      <c r="H73" s="254"/>
      <c r="I73" s="254"/>
      <c r="J73" s="256"/>
      <c r="L73" s="255"/>
    </row>
    <row r="74" spans="2:12" s="157" customFormat="1" ht="31.5" customHeight="1">
      <c r="B74" s="258" t="s">
        <v>182</v>
      </c>
      <c r="C74" s="254">
        <v>1058</v>
      </c>
      <c r="D74" s="254">
        <v>43138</v>
      </c>
      <c r="E74" s="254">
        <f>SUM(F74:J74)</f>
        <v>20874</v>
      </c>
      <c r="F74" s="254">
        <v>786</v>
      </c>
      <c r="G74" s="254">
        <v>18562</v>
      </c>
      <c r="H74" s="254">
        <v>887</v>
      </c>
      <c r="I74" s="254">
        <v>639</v>
      </c>
      <c r="J74" s="256">
        <v>0</v>
      </c>
      <c r="L74" s="255"/>
    </row>
    <row r="75" spans="2:12" s="157" customFormat="1" ht="31.5" customHeight="1">
      <c r="B75" s="258" t="s">
        <v>187</v>
      </c>
      <c r="C75" s="254">
        <v>1067</v>
      </c>
      <c r="D75" s="254">
        <v>43683.55</v>
      </c>
      <c r="E75" s="254">
        <f>SUM(F75:J75)</f>
        <v>18786.290000000005</v>
      </c>
      <c r="F75" s="254">
        <v>2024.91</v>
      </c>
      <c r="G75" s="254">
        <v>14417.56</v>
      </c>
      <c r="H75" s="254">
        <v>1185.58</v>
      </c>
      <c r="I75" s="254">
        <v>1158.13</v>
      </c>
      <c r="J75" s="256">
        <v>0.11</v>
      </c>
      <c r="L75" s="255"/>
    </row>
    <row r="76" spans="2:12" s="157" customFormat="1" ht="31.5" customHeight="1">
      <c r="B76" s="258" t="s">
        <v>188</v>
      </c>
      <c r="C76" s="254">
        <v>1042</v>
      </c>
      <c r="D76" s="254">
        <v>42197</v>
      </c>
      <c r="E76" s="254">
        <f>SUM(F76:J76)</f>
        <v>36674.28999999999</v>
      </c>
      <c r="F76" s="254">
        <v>1833.2</v>
      </c>
      <c r="G76" s="254">
        <v>32940</v>
      </c>
      <c r="H76" s="254">
        <v>703</v>
      </c>
      <c r="I76" s="254">
        <v>1198</v>
      </c>
      <c r="J76" s="256">
        <v>0.09</v>
      </c>
      <c r="L76" s="255"/>
    </row>
    <row r="77" spans="2:12" s="157" customFormat="1" ht="31.5" customHeight="1" thickBot="1">
      <c r="B77" s="258" t="s">
        <v>185</v>
      </c>
      <c r="C77" s="254">
        <v>1047</v>
      </c>
      <c r="D77" s="254">
        <v>43385</v>
      </c>
      <c r="E77" s="254">
        <f>SUM(F77:J77)</f>
        <v>18047.09</v>
      </c>
      <c r="F77" s="254">
        <v>1534</v>
      </c>
      <c r="G77" s="254">
        <v>15041</v>
      </c>
      <c r="H77" s="254">
        <v>813</v>
      </c>
      <c r="I77" s="254">
        <v>659</v>
      </c>
      <c r="J77" s="256">
        <v>0.09</v>
      </c>
      <c r="L77" s="255"/>
    </row>
    <row r="78" spans="2:10" ht="45" customHeight="1" thickBot="1">
      <c r="B78" s="259" t="s">
        <v>190</v>
      </c>
      <c r="C78" s="260">
        <f aca="true" t="shared" si="0" ref="C78:I78">(C77/C76-1)*100</f>
        <v>0.4798464491362786</v>
      </c>
      <c r="D78" s="260">
        <f t="shared" si="0"/>
        <v>2.8153660212811404</v>
      </c>
      <c r="E78" s="260">
        <f t="shared" si="0"/>
        <v>-50.79089465672</v>
      </c>
      <c r="F78" s="260">
        <f t="shared" si="0"/>
        <v>-16.321186995417847</v>
      </c>
      <c r="G78" s="260">
        <f t="shared" si="0"/>
        <v>-54.33819064966605</v>
      </c>
      <c r="H78" s="260">
        <f t="shared" si="0"/>
        <v>15.647226173541974</v>
      </c>
      <c r="I78" s="260">
        <f t="shared" si="0"/>
        <v>-44.99165275459098</v>
      </c>
      <c r="J78" s="747">
        <v>0</v>
      </c>
    </row>
    <row r="79" spans="2:10" ht="45" customHeight="1" thickBot="1">
      <c r="B79" s="259" t="s">
        <v>191</v>
      </c>
      <c r="C79" s="260">
        <f aca="true" t="shared" si="1" ref="C79:I79">(C77/C72-1)*100</f>
        <v>-1.03969754253308</v>
      </c>
      <c r="D79" s="260">
        <f t="shared" si="1"/>
        <v>1.2343662497666497</v>
      </c>
      <c r="E79" s="260">
        <f t="shared" si="1"/>
        <v>-19.626391734212167</v>
      </c>
      <c r="F79" s="260">
        <f t="shared" si="1"/>
        <v>-12.041284403669728</v>
      </c>
      <c r="G79" s="260">
        <f t="shared" si="1"/>
        <v>-20.228056218509682</v>
      </c>
      <c r="H79" s="260">
        <f t="shared" si="1"/>
        <v>-20.52785923753666</v>
      </c>
      <c r="I79" s="260">
        <f t="shared" si="1"/>
        <v>-20.79326923076923</v>
      </c>
      <c r="J79" s="747">
        <v>0</v>
      </c>
    </row>
    <row r="80" spans="2:10" ht="15.75">
      <c r="B80" s="1319" t="s">
        <v>192</v>
      </c>
      <c r="C80" s="1320"/>
      <c r="D80" s="1320"/>
      <c r="E80" s="1320"/>
      <c r="F80" s="1320"/>
      <c r="G80" s="1320"/>
      <c r="H80" s="1320"/>
      <c r="I80" s="1320"/>
      <c r="J80" s="1320"/>
    </row>
    <row r="81" spans="1:11" ht="52.5" customHeight="1">
      <c r="A81" s="899" t="s">
        <v>193</v>
      </c>
      <c r="B81" s="899"/>
      <c r="C81" s="899"/>
      <c r="D81" s="899"/>
      <c r="E81" s="899"/>
      <c r="F81" s="899"/>
      <c r="G81" s="899"/>
      <c r="H81" s="899"/>
      <c r="I81" s="899"/>
      <c r="J81" s="899"/>
      <c r="K81" s="899"/>
    </row>
    <row r="87" ht="16.5" thickBot="1"/>
    <row r="88" spans="2:5" s="261" customFormat="1" ht="16.5">
      <c r="B88" s="1315" t="s">
        <v>194</v>
      </c>
      <c r="C88" s="1317"/>
      <c r="D88" s="1318"/>
      <c r="E88" s="100" t="s">
        <v>195</v>
      </c>
    </row>
    <row r="89" spans="2:5" s="261" customFormat="1" ht="17.25" thickBot="1">
      <c r="B89" s="1316"/>
      <c r="C89" s="101" t="s">
        <v>196</v>
      </c>
      <c r="D89" s="102" t="s">
        <v>197</v>
      </c>
      <c r="E89" s="102" t="s">
        <v>198</v>
      </c>
    </row>
    <row r="90" spans="2:5" s="261" customFormat="1" ht="16.5">
      <c r="B90" s="103" t="s">
        <v>199</v>
      </c>
      <c r="C90" s="263">
        <v>1058</v>
      </c>
      <c r="D90" s="263">
        <v>42856</v>
      </c>
      <c r="E90" s="263">
        <v>22454</v>
      </c>
    </row>
    <row r="91" spans="2:5" ht="16.5">
      <c r="B91" s="262" t="s">
        <v>200</v>
      </c>
      <c r="C91" s="263">
        <v>1058</v>
      </c>
      <c r="D91" s="263">
        <v>43138</v>
      </c>
      <c r="E91" s="264">
        <v>20874</v>
      </c>
    </row>
    <row r="92" spans="2:5" ht="16.5">
      <c r="B92" s="262" t="s">
        <v>201</v>
      </c>
      <c r="C92" s="263">
        <v>1067</v>
      </c>
      <c r="D92" s="263">
        <v>43684</v>
      </c>
      <c r="E92" s="264">
        <v>18786</v>
      </c>
    </row>
    <row r="93" spans="2:5" ht="16.5">
      <c r="B93" s="262" t="s">
        <v>202</v>
      </c>
      <c r="C93" s="263">
        <v>1042</v>
      </c>
      <c r="D93" s="263">
        <v>42197</v>
      </c>
      <c r="E93" s="264">
        <v>36674</v>
      </c>
    </row>
    <row r="94" spans="2:5" ht="16.5">
      <c r="B94" s="103" t="s">
        <v>199</v>
      </c>
      <c r="C94" s="263">
        <v>1047</v>
      </c>
      <c r="D94" s="263">
        <v>43385</v>
      </c>
      <c r="E94" s="263">
        <v>18047</v>
      </c>
    </row>
  </sheetData>
  <mergeCells count="20">
    <mergeCell ref="A1:K1"/>
    <mergeCell ref="A49:K49"/>
    <mergeCell ref="C51:D51"/>
    <mergeCell ref="E51:J51"/>
    <mergeCell ref="A48:K48"/>
    <mergeCell ref="B2:J7"/>
    <mergeCell ref="A47:K47"/>
    <mergeCell ref="B8:J8"/>
    <mergeCell ref="B88:B89"/>
    <mergeCell ref="C88:D88"/>
    <mergeCell ref="B80:J80"/>
    <mergeCell ref="B50:B51"/>
    <mergeCell ref="C50:D50"/>
    <mergeCell ref="E50:J50"/>
    <mergeCell ref="A81:K81"/>
    <mergeCell ref="B52:B53"/>
    <mergeCell ref="L3:T3"/>
    <mergeCell ref="L4:T4"/>
    <mergeCell ref="L5:T5"/>
    <mergeCell ref="L6:T6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96" r:id="rId2"/>
  <rowBreaks count="2" manualBreakCount="2">
    <brk id="47" max="255" man="1"/>
    <brk id="81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91"/>
  <sheetViews>
    <sheetView workbookViewId="0" topLeftCell="A1">
      <selection activeCell="L20" sqref="L20"/>
    </sheetView>
  </sheetViews>
  <sheetFormatPr defaultColWidth="9.00390625" defaultRowHeight="16.5"/>
  <cols>
    <col min="1" max="1" width="2.625" style="3" customWidth="1"/>
    <col min="2" max="10" width="9.50390625" style="3" customWidth="1"/>
    <col min="11" max="11" width="2.625" style="3" customWidth="1"/>
    <col min="12" max="16384" width="9.00390625" style="3" customWidth="1"/>
  </cols>
  <sheetData>
    <row r="1" spans="1:11" s="72" customFormat="1" ht="49.5" customHeight="1">
      <c r="A1" s="869" t="s">
        <v>425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</row>
    <row r="2" spans="2:10" s="266" customFormat="1" ht="18.75">
      <c r="B2" s="1299" t="s">
        <v>426</v>
      </c>
      <c r="C2" s="1299"/>
      <c r="D2" s="1299"/>
      <c r="E2" s="1299"/>
      <c r="F2" s="1299"/>
      <c r="G2" s="1299"/>
      <c r="H2" s="1299"/>
      <c r="I2" s="1299"/>
      <c r="J2" s="1299"/>
    </row>
    <row r="3" spans="2:20" s="266" customFormat="1" ht="18.75">
      <c r="B3" s="1299"/>
      <c r="C3" s="1299"/>
      <c r="D3" s="1299"/>
      <c r="E3" s="1299"/>
      <c r="F3" s="1299"/>
      <c r="G3" s="1299"/>
      <c r="H3" s="1299"/>
      <c r="I3" s="1299"/>
      <c r="J3" s="1299"/>
      <c r="L3" s="1314" t="s">
        <v>427</v>
      </c>
      <c r="M3" s="1314"/>
      <c r="N3" s="1314"/>
      <c r="O3" s="1314"/>
      <c r="P3" s="1314"/>
      <c r="Q3" s="1314"/>
      <c r="R3" s="1314"/>
      <c r="S3" s="1314"/>
      <c r="T3" s="1314"/>
    </row>
    <row r="4" spans="2:20" s="266" customFormat="1" ht="18.75">
      <c r="B4" s="1299"/>
      <c r="C4" s="1299"/>
      <c r="D4" s="1299"/>
      <c r="E4" s="1299"/>
      <c r="F4" s="1299"/>
      <c r="G4" s="1299"/>
      <c r="H4" s="1299"/>
      <c r="I4" s="1299"/>
      <c r="J4" s="1299"/>
      <c r="L4" s="1313" t="s">
        <v>428</v>
      </c>
      <c r="M4" s="1313"/>
      <c r="N4" s="1313"/>
      <c r="O4" s="1313"/>
      <c r="P4" s="1313"/>
      <c r="Q4" s="1313"/>
      <c r="R4" s="1313"/>
      <c r="S4" s="1313"/>
      <c r="T4" s="1313"/>
    </row>
    <row r="5" spans="2:20" s="266" customFormat="1" ht="19.5">
      <c r="B5" s="1299"/>
      <c r="C5" s="1299"/>
      <c r="D5" s="1299"/>
      <c r="E5" s="1299"/>
      <c r="F5" s="1299"/>
      <c r="G5" s="1299"/>
      <c r="H5" s="1299"/>
      <c r="I5" s="1299"/>
      <c r="J5" s="1299"/>
      <c r="L5" s="1332"/>
      <c r="M5" s="1314"/>
      <c r="N5" s="1314"/>
      <c r="O5" s="1314"/>
      <c r="P5" s="1314"/>
      <c r="Q5" s="1314"/>
      <c r="R5" s="1314"/>
      <c r="S5" s="1314"/>
      <c r="T5" s="1314"/>
    </row>
    <row r="6" spans="2:20" s="266" customFormat="1" ht="18.75">
      <c r="B6" s="1299"/>
      <c r="C6" s="1299"/>
      <c r="D6" s="1299"/>
      <c r="E6" s="1299"/>
      <c r="F6" s="1299"/>
      <c r="G6" s="1299"/>
      <c r="H6" s="1299"/>
      <c r="I6" s="1299"/>
      <c r="J6" s="1299"/>
      <c r="L6" s="1314" t="s">
        <v>429</v>
      </c>
      <c r="M6" s="1314"/>
      <c r="N6" s="1314"/>
      <c r="O6" s="1314"/>
      <c r="P6" s="1314"/>
      <c r="Q6" s="1314"/>
      <c r="R6" s="1314"/>
      <c r="S6" s="1314"/>
      <c r="T6" s="1314"/>
    </row>
    <row r="7" spans="2:20" s="266" customFormat="1" ht="18.75">
      <c r="B7" s="1299"/>
      <c r="C7" s="1299"/>
      <c r="D7" s="1299"/>
      <c r="E7" s="1299"/>
      <c r="F7" s="1299"/>
      <c r="G7" s="1299"/>
      <c r="H7" s="1299"/>
      <c r="I7" s="1299"/>
      <c r="J7" s="1299"/>
      <c r="L7" s="1313" t="s">
        <v>428</v>
      </c>
      <c r="M7" s="1313"/>
      <c r="N7" s="1313"/>
      <c r="O7" s="1313"/>
      <c r="P7" s="1313"/>
      <c r="Q7" s="1313"/>
      <c r="R7" s="1313"/>
      <c r="S7" s="1313"/>
      <c r="T7" s="1313"/>
    </row>
    <row r="8" spans="2:20" s="266" customFormat="1" ht="18.75">
      <c r="B8" s="1299"/>
      <c r="C8" s="1299"/>
      <c r="D8" s="1299"/>
      <c r="E8" s="1299"/>
      <c r="F8" s="1299"/>
      <c r="G8" s="1299"/>
      <c r="H8" s="1299"/>
      <c r="I8" s="1299"/>
      <c r="J8" s="1299"/>
      <c r="L8" s="223"/>
      <c r="M8" s="223"/>
      <c r="N8" s="223"/>
      <c r="O8" s="223"/>
      <c r="P8" s="223"/>
      <c r="Q8" s="223"/>
      <c r="R8" s="223"/>
      <c r="S8" s="223"/>
      <c r="T8" s="223"/>
    </row>
    <row r="9" spans="2:10" s="266" customFormat="1" ht="25.5" customHeight="1">
      <c r="B9" s="1299"/>
      <c r="C9" s="1299"/>
      <c r="D9" s="1299"/>
      <c r="E9" s="1299"/>
      <c r="F9" s="1299"/>
      <c r="G9" s="1299"/>
      <c r="H9" s="1299"/>
      <c r="I9" s="1299"/>
      <c r="J9" s="1299"/>
    </row>
    <row r="48" spans="2:10" ht="30.75" customHeight="1">
      <c r="B48" s="899" t="s">
        <v>430</v>
      </c>
      <c r="C48" s="899"/>
      <c r="D48" s="899"/>
      <c r="E48" s="899"/>
      <c r="F48" s="899"/>
      <c r="G48" s="899"/>
      <c r="H48" s="899"/>
      <c r="I48" s="899"/>
      <c r="J48" s="899"/>
    </row>
    <row r="49" spans="1:11" s="210" customFormat="1" ht="24.75" customHeight="1">
      <c r="A49" s="1327" t="s">
        <v>431</v>
      </c>
      <c r="B49" s="1327"/>
      <c r="C49" s="1327"/>
      <c r="D49" s="1327"/>
      <c r="E49" s="1327"/>
      <c r="F49" s="1327"/>
      <c r="G49" s="1327"/>
      <c r="H49" s="1327"/>
      <c r="I49" s="1327"/>
      <c r="J49" s="1327"/>
      <c r="K49" s="1327"/>
    </row>
    <row r="50" spans="1:11" s="210" customFormat="1" ht="24.75" customHeight="1" thickBot="1">
      <c r="A50" s="950" t="s">
        <v>432</v>
      </c>
      <c r="B50" s="950"/>
      <c r="C50" s="950"/>
      <c r="D50" s="950"/>
      <c r="E50" s="950"/>
      <c r="F50" s="950"/>
      <c r="G50" s="950"/>
      <c r="H50" s="950"/>
      <c r="I50" s="950"/>
      <c r="J50" s="950"/>
      <c r="K50" s="950"/>
    </row>
    <row r="51" spans="2:10" ht="22.5" customHeight="1">
      <c r="B51" s="951" t="s">
        <v>433</v>
      </c>
      <c r="C51" s="1334" t="s">
        <v>434</v>
      </c>
      <c r="D51" s="1335"/>
      <c r="E51" s="1197" t="s">
        <v>435</v>
      </c>
      <c r="F51" s="1335"/>
      <c r="G51" s="1197" t="s">
        <v>436</v>
      </c>
      <c r="H51" s="1335"/>
      <c r="I51" s="1197" t="s">
        <v>437</v>
      </c>
      <c r="J51" s="1336"/>
    </row>
    <row r="52" spans="2:10" ht="22.5" customHeight="1">
      <c r="B52" s="1331"/>
      <c r="C52" s="1328" t="s">
        <v>438</v>
      </c>
      <c r="D52" s="1329"/>
      <c r="E52" s="1329" t="s">
        <v>439</v>
      </c>
      <c r="F52" s="1329"/>
      <c r="G52" s="1329" t="s">
        <v>440</v>
      </c>
      <c r="H52" s="1329"/>
      <c r="I52" s="1329" t="s">
        <v>441</v>
      </c>
      <c r="J52" s="1330"/>
    </row>
    <row r="53" spans="2:12" ht="21" customHeight="1">
      <c r="B53" s="952" t="s">
        <v>937</v>
      </c>
      <c r="C53" s="267" t="s">
        <v>442</v>
      </c>
      <c r="D53" s="251" t="s">
        <v>443</v>
      </c>
      <c r="E53" s="251" t="s">
        <v>442</v>
      </c>
      <c r="F53" s="251" t="s">
        <v>443</v>
      </c>
      <c r="G53" s="251" t="s">
        <v>442</v>
      </c>
      <c r="H53" s="251" t="s">
        <v>443</v>
      </c>
      <c r="I53" s="251" t="s">
        <v>442</v>
      </c>
      <c r="J53" s="268" t="s">
        <v>443</v>
      </c>
      <c r="L53" s="206"/>
    </row>
    <row r="54" spans="2:10" ht="29.25" customHeight="1" thickBot="1">
      <c r="B54" s="1200"/>
      <c r="C54" s="269" t="s">
        <v>444</v>
      </c>
      <c r="D54" s="270" t="s">
        <v>445</v>
      </c>
      <c r="E54" s="270" t="s">
        <v>444</v>
      </c>
      <c r="F54" s="270" t="s">
        <v>445</v>
      </c>
      <c r="G54" s="270" t="s">
        <v>444</v>
      </c>
      <c r="H54" s="270" t="s">
        <v>445</v>
      </c>
      <c r="I54" s="270" t="s">
        <v>444</v>
      </c>
      <c r="J54" s="271" t="s">
        <v>445</v>
      </c>
    </row>
    <row r="55" spans="2:10" s="272" customFormat="1" ht="45.75" customHeight="1" hidden="1">
      <c r="B55" s="526" t="s">
        <v>446</v>
      </c>
      <c r="C55" s="274">
        <v>24</v>
      </c>
      <c r="D55" s="274">
        <v>74</v>
      </c>
      <c r="E55" s="274">
        <v>554</v>
      </c>
      <c r="F55" s="274">
        <v>1367</v>
      </c>
      <c r="G55" s="274">
        <v>19669</v>
      </c>
      <c r="H55" s="274">
        <v>40379</v>
      </c>
      <c r="I55" s="274">
        <v>1213</v>
      </c>
      <c r="J55" s="274">
        <v>2176</v>
      </c>
    </row>
    <row r="56" spans="2:10" s="272" customFormat="1" ht="45.75" customHeight="1" hidden="1">
      <c r="B56" s="526" t="s">
        <v>447</v>
      </c>
      <c r="C56" s="274">
        <v>22</v>
      </c>
      <c r="D56" s="274">
        <v>74</v>
      </c>
      <c r="E56" s="274">
        <v>560</v>
      </c>
      <c r="F56" s="274">
        <v>1400</v>
      </c>
      <c r="G56" s="274">
        <v>19327</v>
      </c>
      <c r="H56" s="274">
        <v>40443</v>
      </c>
      <c r="I56" s="274">
        <v>1153</v>
      </c>
      <c r="J56" s="274">
        <v>2229</v>
      </c>
    </row>
    <row r="57" spans="2:10" s="272" customFormat="1" ht="45.75" customHeight="1">
      <c r="B57" s="526" t="s">
        <v>448</v>
      </c>
      <c r="C57" s="274">
        <v>22</v>
      </c>
      <c r="D57" s="274">
        <v>74</v>
      </c>
      <c r="E57" s="274">
        <v>570</v>
      </c>
      <c r="F57" s="274">
        <v>1413</v>
      </c>
      <c r="G57" s="274">
        <v>19839</v>
      </c>
      <c r="H57" s="274">
        <v>40142</v>
      </c>
      <c r="I57" s="274">
        <v>1166</v>
      </c>
      <c r="J57" s="274">
        <v>2257</v>
      </c>
    </row>
    <row r="58" spans="2:10" s="272" customFormat="1" ht="45.75" customHeight="1">
      <c r="B58" s="526" t="s">
        <v>449</v>
      </c>
      <c r="C58" s="275">
        <v>22</v>
      </c>
      <c r="D58" s="275">
        <v>76</v>
      </c>
      <c r="E58" s="275">
        <v>579</v>
      </c>
      <c r="F58" s="275">
        <v>1432</v>
      </c>
      <c r="G58" s="275">
        <v>20295</v>
      </c>
      <c r="H58" s="275">
        <v>39920</v>
      </c>
      <c r="I58" s="275">
        <v>1168</v>
      </c>
      <c r="J58" s="275">
        <v>2328</v>
      </c>
    </row>
    <row r="59" spans="2:10" s="272" customFormat="1" ht="45.75" customHeight="1">
      <c r="B59" s="526" t="s">
        <v>450</v>
      </c>
      <c r="C59" s="275">
        <v>22</v>
      </c>
      <c r="D59" s="275">
        <v>76</v>
      </c>
      <c r="E59" s="275">
        <v>588</v>
      </c>
      <c r="F59" s="275">
        <v>1443</v>
      </c>
      <c r="G59" s="275">
        <v>20367</v>
      </c>
      <c r="H59" s="275">
        <v>39760</v>
      </c>
      <c r="I59" s="275">
        <v>1172</v>
      </c>
      <c r="J59" s="275">
        <v>2316</v>
      </c>
    </row>
    <row r="60" spans="2:10" s="272" customFormat="1" ht="45.75" customHeight="1">
      <c r="B60" s="526" t="s">
        <v>451</v>
      </c>
      <c r="C60" s="275">
        <v>22</v>
      </c>
      <c r="D60" s="275">
        <v>76</v>
      </c>
      <c r="E60" s="275">
        <v>592</v>
      </c>
      <c r="F60" s="275">
        <v>1438</v>
      </c>
      <c r="G60" s="275">
        <v>20348</v>
      </c>
      <c r="H60" s="275">
        <v>38979</v>
      </c>
      <c r="I60" s="275">
        <v>1167</v>
      </c>
      <c r="J60" s="275">
        <v>2299</v>
      </c>
    </row>
    <row r="61" spans="2:10" s="272" customFormat="1" ht="45.75" customHeight="1">
      <c r="B61" s="526" t="s">
        <v>452</v>
      </c>
      <c r="C61" s="275">
        <v>22</v>
      </c>
      <c r="D61" s="275">
        <v>76</v>
      </c>
      <c r="E61" s="275">
        <v>599</v>
      </c>
      <c r="F61" s="275">
        <v>1398</v>
      </c>
      <c r="G61" s="275">
        <v>20498</v>
      </c>
      <c r="H61" s="275">
        <v>37523</v>
      </c>
      <c r="I61" s="275">
        <v>1186</v>
      </c>
      <c r="J61" s="275">
        <v>2290</v>
      </c>
    </row>
    <row r="62" spans="2:10" s="272" customFormat="1" ht="45.75" customHeight="1">
      <c r="B62" s="526" t="s">
        <v>1219</v>
      </c>
      <c r="C62" s="275">
        <v>25</v>
      </c>
      <c r="D62" s="275">
        <v>76</v>
      </c>
      <c r="E62" s="275">
        <v>623</v>
      </c>
      <c r="F62" s="275">
        <v>1366</v>
      </c>
      <c r="G62" s="275">
        <v>20753</v>
      </c>
      <c r="H62" s="275">
        <v>36448</v>
      </c>
      <c r="I62" s="275">
        <v>1206</v>
      </c>
      <c r="J62" s="275">
        <v>2236</v>
      </c>
    </row>
    <row r="63" spans="2:10" s="272" customFormat="1" ht="45.75" customHeight="1">
      <c r="B63" s="526" t="s">
        <v>453</v>
      </c>
      <c r="C63" s="275">
        <v>25</v>
      </c>
      <c r="D63" s="275">
        <v>76</v>
      </c>
      <c r="E63" s="275">
        <v>630</v>
      </c>
      <c r="F63" s="275">
        <v>1404</v>
      </c>
      <c r="G63" s="275">
        <v>19439</v>
      </c>
      <c r="H63" s="275">
        <v>35125</v>
      </c>
      <c r="I63" s="275">
        <v>1348</v>
      </c>
      <c r="J63" s="275">
        <v>2291</v>
      </c>
    </row>
    <row r="64" spans="2:10" s="272" customFormat="1" ht="45.75" customHeight="1">
      <c r="B64" s="526" t="s">
        <v>454</v>
      </c>
      <c r="C64" s="275">
        <v>25</v>
      </c>
      <c r="D64" s="275">
        <v>77</v>
      </c>
      <c r="E64" s="275">
        <v>650</v>
      </c>
      <c r="F64" s="275">
        <v>1320</v>
      </c>
      <c r="G64" s="275">
        <v>20961</v>
      </c>
      <c r="H64" s="275">
        <v>33260</v>
      </c>
      <c r="I64" s="275">
        <v>1297</v>
      </c>
      <c r="J64" s="275">
        <v>2232</v>
      </c>
    </row>
    <row r="65" spans="2:10" s="272" customFormat="1" ht="45.75" customHeight="1">
      <c r="B65" s="526" t="s">
        <v>455</v>
      </c>
      <c r="C65" s="275">
        <v>25</v>
      </c>
      <c r="D65" s="275">
        <v>77</v>
      </c>
      <c r="E65" s="275">
        <v>656</v>
      </c>
      <c r="F65" s="275">
        <v>1302</v>
      </c>
      <c r="G65" s="275">
        <v>20863</v>
      </c>
      <c r="H65" s="275">
        <v>31371</v>
      </c>
      <c r="I65" s="275">
        <v>1294</v>
      </c>
      <c r="J65" s="275">
        <v>2200</v>
      </c>
    </row>
    <row r="66" spans="2:10" s="272" customFormat="1" ht="45.75" customHeight="1" thickBot="1">
      <c r="B66" s="526" t="s">
        <v>456</v>
      </c>
      <c r="C66" s="275">
        <v>25</v>
      </c>
      <c r="D66" s="275">
        <v>77</v>
      </c>
      <c r="E66" s="275">
        <v>645</v>
      </c>
      <c r="F66" s="275">
        <v>1287</v>
      </c>
      <c r="G66" s="275">
        <v>20267</v>
      </c>
      <c r="H66" s="275">
        <v>29728</v>
      </c>
      <c r="I66" s="275">
        <v>1311</v>
      </c>
      <c r="J66" s="275">
        <v>2183</v>
      </c>
    </row>
    <row r="67" spans="2:10" s="157" customFormat="1" ht="45.75" customHeight="1" thickBot="1">
      <c r="B67" s="259" t="s">
        <v>457</v>
      </c>
      <c r="C67" s="180">
        <f aca="true" t="shared" si="0" ref="C67:J67">(C66/C65-1)*100</f>
        <v>0</v>
      </c>
      <c r="D67" s="180">
        <f t="shared" si="0"/>
        <v>0</v>
      </c>
      <c r="E67" s="260">
        <f t="shared" si="0"/>
        <v>-1.6768292682926789</v>
      </c>
      <c r="F67" s="260">
        <f t="shared" si="0"/>
        <v>-1.1520737327188946</v>
      </c>
      <c r="G67" s="260">
        <f t="shared" si="0"/>
        <v>-2.8567320136126173</v>
      </c>
      <c r="H67" s="260">
        <f t="shared" si="0"/>
        <v>-5.237321092728953</v>
      </c>
      <c r="I67" s="260">
        <f t="shared" si="0"/>
        <v>1.3137557959814528</v>
      </c>
      <c r="J67" s="260">
        <f t="shared" si="0"/>
        <v>-0.7727272727272694</v>
      </c>
    </row>
    <row r="68" spans="2:10" s="157" customFormat="1" ht="45.75" customHeight="1" thickBot="1">
      <c r="B68" s="259" t="s">
        <v>458</v>
      </c>
      <c r="C68" s="260">
        <f aca="true" t="shared" si="1" ref="C68:J68">(C66/C57-1)*100</f>
        <v>13.636363636363647</v>
      </c>
      <c r="D68" s="260">
        <f t="shared" si="1"/>
        <v>4.054054054054057</v>
      </c>
      <c r="E68" s="260">
        <f t="shared" si="1"/>
        <v>13.157894736842103</v>
      </c>
      <c r="F68" s="260">
        <f t="shared" si="1"/>
        <v>-8.917197452229297</v>
      </c>
      <c r="G68" s="260">
        <f t="shared" si="1"/>
        <v>2.1573668027622395</v>
      </c>
      <c r="H68" s="260">
        <f t="shared" si="1"/>
        <v>-25.942902695431215</v>
      </c>
      <c r="I68" s="260">
        <f t="shared" si="1"/>
        <v>12.435677530017152</v>
      </c>
      <c r="J68" s="260">
        <f t="shared" si="1"/>
        <v>-3.2786885245901676</v>
      </c>
    </row>
    <row r="69" spans="2:10" ht="18.75" customHeight="1">
      <c r="B69" s="1319" t="s">
        <v>459</v>
      </c>
      <c r="C69" s="1320"/>
      <c r="D69" s="1320"/>
      <c r="E69" s="1320"/>
      <c r="F69" s="1320"/>
      <c r="G69" s="1320"/>
      <c r="H69" s="1320"/>
      <c r="I69" s="1320"/>
      <c r="J69" s="1320"/>
    </row>
    <row r="70" spans="2:10" ht="18" customHeight="1">
      <c r="B70" s="994" t="s">
        <v>460</v>
      </c>
      <c r="C70" s="995"/>
      <c r="D70" s="995"/>
      <c r="E70" s="995"/>
      <c r="F70" s="995"/>
      <c r="G70" s="995"/>
      <c r="H70" s="995"/>
      <c r="I70" s="995"/>
      <c r="J70" s="995"/>
    </row>
    <row r="71" spans="2:10" ht="15.75">
      <c r="B71" s="1333" t="s">
        <v>461</v>
      </c>
      <c r="C71" s="1333"/>
      <c r="D71" s="1333"/>
      <c r="E71" s="1333"/>
      <c r="F71" s="1333"/>
      <c r="G71" s="1333"/>
      <c r="H71" s="1333"/>
      <c r="I71" s="1333"/>
      <c r="J71" s="1333"/>
    </row>
    <row r="73" spans="1:11" ht="72.75" customHeight="1">
      <c r="A73" s="899" t="s">
        <v>462</v>
      </c>
      <c r="B73" s="899"/>
      <c r="C73" s="899"/>
      <c r="D73" s="899"/>
      <c r="E73" s="899"/>
      <c r="F73" s="899"/>
      <c r="G73" s="899"/>
      <c r="H73" s="899"/>
      <c r="I73" s="899"/>
      <c r="J73" s="899"/>
      <c r="K73" s="899"/>
    </row>
    <row r="80" ht="16.5">
      <c r="B80" s="3" t="s">
        <v>463</v>
      </c>
    </row>
    <row r="81" ht="16.5">
      <c r="B81" s="3" t="s">
        <v>464</v>
      </c>
    </row>
    <row r="82" ht="16.5">
      <c r="B82" s="3" t="s">
        <v>951</v>
      </c>
    </row>
    <row r="83" ht="16.5">
      <c r="B83" s="3" t="s">
        <v>952</v>
      </c>
    </row>
    <row r="84" ht="16.5">
      <c r="B84" s="3" t="s">
        <v>953</v>
      </c>
    </row>
    <row r="85" ht="16.5">
      <c r="B85" s="3" t="s">
        <v>954</v>
      </c>
    </row>
    <row r="86" ht="16.5">
      <c r="B86" s="3" t="s">
        <v>955</v>
      </c>
    </row>
    <row r="87" ht="16.5">
      <c r="B87" s="3" t="s">
        <v>956</v>
      </c>
    </row>
    <row r="88" ht="16.5">
      <c r="B88" s="3" t="s">
        <v>957</v>
      </c>
    </row>
    <row r="89" ht="16.5">
      <c r="B89" s="3" t="s">
        <v>958</v>
      </c>
    </row>
    <row r="90" ht="16.5">
      <c r="B90" s="3" t="s">
        <v>959</v>
      </c>
    </row>
    <row r="91" ht="16.5">
      <c r="B91" s="3" t="s">
        <v>465</v>
      </c>
    </row>
  </sheetData>
  <mergeCells count="24">
    <mergeCell ref="A73:K73"/>
    <mergeCell ref="B70:J70"/>
    <mergeCell ref="B71:J71"/>
    <mergeCell ref="C51:D51"/>
    <mergeCell ref="E51:F51"/>
    <mergeCell ref="G51:H51"/>
    <mergeCell ref="I51:J51"/>
    <mergeCell ref="L3:T3"/>
    <mergeCell ref="L4:T4"/>
    <mergeCell ref="B69:J69"/>
    <mergeCell ref="L5:T5"/>
    <mergeCell ref="L6:T6"/>
    <mergeCell ref="L7:T7"/>
    <mergeCell ref="B48:J48"/>
    <mergeCell ref="B53:B54"/>
    <mergeCell ref="A1:K1"/>
    <mergeCell ref="B2:J9"/>
    <mergeCell ref="C52:D52"/>
    <mergeCell ref="E52:F52"/>
    <mergeCell ref="G52:H52"/>
    <mergeCell ref="I52:J52"/>
    <mergeCell ref="B51:B52"/>
    <mergeCell ref="A49:K49"/>
    <mergeCell ref="A50:K50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99" r:id="rId2"/>
  <rowBreaks count="1" manualBreakCount="1">
    <brk id="48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C77" sqref="C77"/>
    </sheetView>
  </sheetViews>
  <sheetFormatPr defaultColWidth="9.00390625" defaultRowHeight="16.5"/>
  <cols>
    <col min="1" max="1" width="2.625" style="3" customWidth="1"/>
    <col min="2" max="7" width="15.125" style="3" customWidth="1"/>
    <col min="8" max="8" width="2.625" style="3" customWidth="1"/>
    <col min="9" max="16384" width="8.875" style="3" customWidth="1"/>
  </cols>
  <sheetData>
    <row r="1" spans="1:9" ht="49.5" customHeight="1">
      <c r="A1" s="869" t="s">
        <v>466</v>
      </c>
      <c r="B1" s="869"/>
      <c r="C1" s="869"/>
      <c r="D1" s="869"/>
      <c r="E1" s="869"/>
      <c r="F1" s="869"/>
      <c r="G1" s="869"/>
      <c r="H1" s="869"/>
      <c r="I1" s="177"/>
    </row>
    <row r="2" spans="2:9" ht="129" customHeight="1">
      <c r="B2" s="1143" t="s">
        <v>467</v>
      </c>
      <c r="C2" s="1143"/>
      <c r="D2" s="1143"/>
      <c r="E2" s="1143"/>
      <c r="F2" s="1143"/>
      <c r="G2" s="1143"/>
      <c r="H2" s="208"/>
      <c r="I2" s="208"/>
    </row>
    <row r="3" spans="1:8" s="157" customFormat="1" ht="24.75" customHeight="1">
      <c r="A3" s="897" t="s">
        <v>468</v>
      </c>
      <c r="B3" s="898"/>
      <c r="C3" s="898"/>
      <c r="D3" s="898"/>
      <c r="E3" s="898"/>
      <c r="F3" s="898"/>
      <c r="G3" s="898"/>
      <c r="H3" s="898"/>
    </row>
    <row r="4" spans="1:8" ht="24.75" customHeight="1" thickBot="1">
      <c r="A4" s="950" t="s">
        <v>469</v>
      </c>
      <c r="B4" s="950"/>
      <c r="C4" s="950"/>
      <c r="D4" s="950"/>
      <c r="E4" s="950"/>
      <c r="F4" s="950"/>
      <c r="G4" s="950"/>
      <c r="H4" s="950"/>
    </row>
    <row r="5" spans="1:9" s="157" customFormat="1" ht="39.75" customHeight="1">
      <c r="A5" s="3"/>
      <c r="B5" s="525" t="s">
        <v>423</v>
      </c>
      <c r="C5" s="505" t="s">
        <v>470</v>
      </c>
      <c r="D5" s="506" t="s">
        <v>471</v>
      </c>
      <c r="E5" s="506" t="s">
        <v>472</v>
      </c>
      <c r="F5" s="506" t="s">
        <v>473</v>
      </c>
      <c r="G5" s="507" t="s">
        <v>474</v>
      </c>
      <c r="H5" s="3"/>
      <c r="I5" s="3"/>
    </row>
    <row r="6" spans="1:9" s="157" customFormat="1" ht="39.75" customHeight="1" thickBot="1">
      <c r="A6" s="3"/>
      <c r="B6" s="489" t="s">
        <v>424</v>
      </c>
      <c r="C6" s="460" t="s">
        <v>475</v>
      </c>
      <c r="D6" s="461" t="s">
        <v>476</v>
      </c>
      <c r="E6" s="461" t="s">
        <v>477</v>
      </c>
      <c r="F6" s="461" t="s">
        <v>478</v>
      </c>
      <c r="G6" s="508" t="s">
        <v>479</v>
      </c>
      <c r="H6" s="3"/>
      <c r="I6" s="172"/>
    </row>
    <row r="7" spans="1:9" ht="30" customHeight="1">
      <c r="A7" s="157"/>
      <c r="B7" s="121" t="s">
        <v>480</v>
      </c>
      <c r="C7" s="183">
        <v>100</v>
      </c>
      <c r="D7" s="183">
        <v>100</v>
      </c>
      <c r="E7" s="183">
        <v>100</v>
      </c>
      <c r="F7" s="183">
        <v>100</v>
      </c>
      <c r="G7" s="183">
        <v>100</v>
      </c>
      <c r="H7" s="157"/>
      <c r="I7" s="157"/>
    </row>
    <row r="8" spans="1:9" ht="30" customHeight="1">
      <c r="A8" s="157"/>
      <c r="B8" s="121" t="s">
        <v>481</v>
      </c>
      <c r="C8" s="183">
        <f>AVERAGE(C9:C12)</f>
        <v>106.465</v>
      </c>
      <c r="D8" s="183">
        <f>AVERAGE(D9:D12)</f>
        <v>101.7975</v>
      </c>
      <c r="E8" s="183">
        <f>AVERAGE(E9:E12)</f>
        <v>108.9475</v>
      </c>
      <c r="F8" s="183">
        <f>AVERAGE(F9:F12)</f>
        <v>103.56</v>
      </c>
      <c r="G8" s="183">
        <f>AVERAGE(G9:G12)</f>
        <v>109.005</v>
      </c>
      <c r="H8" s="157"/>
      <c r="I8" s="157"/>
    </row>
    <row r="9" spans="2:7" ht="28.5" customHeight="1" hidden="1">
      <c r="B9" s="527" t="s">
        <v>482</v>
      </c>
      <c r="C9" s="277">
        <v>101.93</v>
      </c>
      <c r="D9" s="277">
        <v>99.84</v>
      </c>
      <c r="E9" s="277">
        <v>102.37</v>
      </c>
      <c r="F9" s="277">
        <v>101.46</v>
      </c>
      <c r="G9" s="277">
        <v>104.74</v>
      </c>
    </row>
    <row r="10" spans="2:7" ht="28.5" customHeight="1" hidden="1">
      <c r="B10" s="527" t="s">
        <v>483</v>
      </c>
      <c r="C10" s="277">
        <v>106.19</v>
      </c>
      <c r="D10" s="277">
        <v>100.67</v>
      </c>
      <c r="E10" s="277">
        <v>108.53</v>
      </c>
      <c r="F10" s="277">
        <v>104.14</v>
      </c>
      <c r="G10" s="277">
        <v>108.53</v>
      </c>
    </row>
    <row r="11" spans="1:9" s="157" customFormat="1" ht="39.75" customHeight="1" hidden="1">
      <c r="A11" s="3"/>
      <c r="B11" s="527" t="s">
        <v>484</v>
      </c>
      <c r="C11" s="277">
        <v>107.74</v>
      </c>
      <c r="D11" s="277">
        <v>102.12</v>
      </c>
      <c r="E11" s="277">
        <v>110.33</v>
      </c>
      <c r="F11" s="277">
        <v>104.4</v>
      </c>
      <c r="G11" s="277">
        <v>109.99</v>
      </c>
      <c r="H11" s="3"/>
      <c r="I11" s="3"/>
    </row>
    <row r="12" spans="1:9" s="157" customFormat="1" ht="39.75" customHeight="1" hidden="1">
      <c r="A12" s="3"/>
      <c r="B12" s="527" t="s">
        <v>1221</v>
      </c>
      <c r="C12" s="277">
        <v>110</v>
      </c>
      <c r="D12" s="277">
        <v>104.56</v>
      </c>
      <c r="E12" s="277">
        <v>114.56</v>
      </c>
      <c r="F12" s="277">
        <v>104.24</v>
      </c>
      <c r="G12" s="277">
        <v>112.76</v>
      </c>
      <c r="H12" s="3"/>
      <c r="I12" s="3"/>
    </row>
    <row r="13" spans="2:7" s="157" customFormat="1" ht="30" customHeight="1">
      <c r="B13" s="121" t="s">
        <v>485</v>
      </c>
      <c r="C13" s="183">
        <f>AVERAGE(C14:C17)</f>
        <v>111.94749999999999</v>
      </c>
      <c r="D13" s="183">
        <f>AVERAGE(D14:D17)</f>
        <v>105.38833333333334</v>
      </c>
      <c r="E13" s="183">
        <f>AVERAGE(E14:E17)</f>
        <v>118.5775</v>
      </c>
      <c r="F13" s="183">
        <f>AVERAGE(F14:F17)</f>
        <v>101.3375</v>
      </c>
      <c r="G13" s="183">
        <f>AVERAGE(G14:G17)</f>
        <v>124.24833333333333</v>
      </c>
    </row>
    <row r="14" spans="2:7" s="157" customFormat="1" ht="30" customHeight="1" hidden="1">
      <c r="B14" s="527" t="s">
        <v>482</v>
      </c>
      <c r="C14" s="183">
        <v>110.77666666666666</v>
      </c>
      <c r="D14" s="183">
        <v>103.41333333333334</v>
      </c>
      <c r="E14" s="183">
        <v>117.31333333333333</v>
      </c>
      <c r="F14" s="183">
        <v>101.56</v>
      </c>
      <c r="G14" s="183">
        <v>119.72</v>
      </c>
    </row>
    <row r="15" spans="2:7" s="157" customFormat="1" ht="30" customHeight="1" hidden="1">
      <c r="B15" s="527" t="s">
        <v>486</v>
      </c>
      <c r="C15" s="183">
        <v>114.73666666666668</v>
      </c>
      <c r="D15" s="183">
        <v>104.89</v>
      </c>
      <c r="E15" s="183">
        <v>123.16</v>
      </c>
      <c r="F15" s="183">
        <v>102.00333333333333</v>
      </c>
      <c r="G15" s="183">
        <v>129.25</v>
      </c>
    </row>
    <row r="16" spans="2:7" s="157" customFormat="1" ht="30" customHeight="1" hidden="1">
      <c r="B16" s="527" t="s">
        <v>487</v>
      </c>
      <c r="C16" s="183">
        <v>117.37666666666667</v>
      </c>
      <c r="D16" s="183">
        <v>106.73666666666668</v>
      </c>
      <c r="E16" s="183">
        <v>125.66666666666667</v>
      </c>
      <c r="F16" s="183">
        <v>103.68666666666667</v>
      </c>
      <c r="G16" s="183">
        <v>129.7566666666667</v>
      </c>
    </row>
    <row r="17" spans="2:7" s="157" customFormat="1" ht="30" customHeight="1" hidden="1">
      <c r="B17" s="527" t="s">
        <v>488</v>
      </c>
      <c r="C17" s="183">
        <v>104.9</v>
      </c>
      <c r="D17" s="183">
        <v>106.51333333333332</v>
      </c>
      <c r="E17" s="183">
        <v>108.17</v>
      </c>
      <c r="F17" s="183">
        <v>98.1</v>
      </c>
      <c r="G17" s="183">
        <v>118.26666666666667</v>
      </c>
    </row>
    <row r="18" spans="1:9" ht="30" customHeight="1">
      <c r="A18" s="157"/>
      <c r="B18" s="121" t="s">
        <v>489</v>
      </c>
      <c r="C18" s="183">
        <f>(C19+C23+C27+C31)/4</f>
        <v>102.17416666666668</v>
      </c>
      <c r="D18" s="183">
        <f>(D19+D23+D27+D31)/4</f>
        <v>104.46916666666668</v>
      </c>
      <c r="E18" s="183">
        <f>(E19+E23+E27+E31)/4</f>
        <v>107.18916666666667</v>
      </c>
      <c r="F18" s="183">
        <f>(F19+F23+F27+F31)/4</f>
        <v>94.65416666666667</v>
      </c>
      <c r="G18" s="183">
        <f>(G19+G23+G27+G31)/4</f>
        <v>113.24416666666667</v>
      </c>
      <c r="H18" s="157"/>
      <c r="I18" s="157"/>
    </row>
    <row r="19" spans="1:9" ht="30" customHeight="1">
      <c r="A19" s="157"/>
      <c r="B19" s="527" t="s">
        <v>482</v>
      </c>
      <c r="C19" s="183">
        <f>AVERAGE(C20:C22)</f>
        <v>99.88</v>
      </c>
      <c r="D19" s="183">
        <f>AVERAGE(D20:D22)</f>
        <v>103.40666666666668</v>
      </c>
      <c r="E19" s="183">
        <f>AVERAGE(E20:E22)</f>
        <v>103.50666666666666</v>
      </c>
      <c r="F19" s="183">
        <f>AVERAGE(F20:F22)</f>
        <v>94.79333333333334</v>
      </c>
      <c r="G19" s="183">
        <f>AVERAGE(G20:G22)</f>
        <v>113.99333333333334</v>
      </c>
      <c r="H19" s="157"/>
      <c r="I19" s="157"/>
    </row>
    <row r="20" spans="2:7" ht="28.5" customHeight="1" hidden="1">
      <c r="B20" s="528" t="s">
        <v>490</v>
      </c>
      <c r="C20" s="277">
        <v>99.2</v>
      </c>
      <c r="D20" s="277">
        <v>104.43</v>
      </c>
      <c r="E20" s="277">
        <v>102.79</v>
      </c>
      <c r="F20" s="277">
        <v>93.85</v>
      </c>
      <c r="G20" s="277">
        <v>114.63</v>
      </c>
    </row>
    <row r="21" spans="1:14" s="157" customFormat="1" ht="39.75" customHeight="1" hidden="1">
      <c r="A21" s="3"/>
      <c r="B21" s="528" t="s">
        <v>491</v>
      </c>
      <c r="C21" s="277">
        <v>100.31</v>
      </c>
      <c r="D21" s="277">
        <v>102.84</v>
      </c>
      <c r="E21" s="277">
        <v>103.88</v>
      </c>
      <c r="F21" s="277">
        <v>95.65</v>
      </c>
      <c r="G21" s="277">
        <v>114.53</v>
      </c>
      <c r="H21" s="3"/>
      <c r="I21" s="3"/>
      <c r="J21" s="278"/>
      <c r="K21" s="278"/>
      <c r="L21" s="278"/>
      <c r="M21" s="278"/>
      <c r="N21" s="278"/>
    </row>
    <row r="22" spans="2:7" ht="30.75" hidden="1">
      <c r="B22" s="528" t="s">
        <v>492</v>
      </c>
      <c r="C22" s="277">
        <v>100.13</v>
      </c>
      <c r="D22" s="277">
        <v>102.95</v>
      </c>
      <c r="E22" s="277">
        <v>103.85</v>
      </c>
      <c r="F22" s="277">
        <v>94.88</v>
      </c>
      <c r="G22" s="277">
        <v>112.82</v>
      </c>
    </row>
    <row r="23" spans="1:9" ht="30" customHeight="1">
      <c r="A23" s="157"/>
      <c r="B23" s="527" t="s">
        <v>486</v>
      </c>
      <c r="C23" s="183">
        <f>AVERAGE(C24:C26)</f>
        <v>100.04666666666667</v>
      </c>
      <c r="D23" s="183">
        <f>AVERAGE(D24:D26)</f>
        <v>104</v>
      </c>
      <c r="E23" s="183">
        <f>AVERAGE(E24:E26)</f>
        <v>104.29</v>
      </c>
      <c r="F23" s="183">
        <f>AVERAGE(F24:F26)</f>
        <v>93.08</v>
      </c>
      <c r="G23" s="183">
        <f>AVERAGE(G24:G26)</f>
        <v>112.39999999999999</v>
      </c>
      <c r="H23" s="157"/>
      <c r="I23" s="278"/>
    </row>
    <row r="24" spans="2:7" ht="30.75" hidden="1">
      <c r="B24" s="528" t="s">
        <v>493</v>
      </c>
      <c r="C24" s="277">
        <v>99.5</v>
      </c>
      <c r="D24" s="277">
        <v>103.74</v>
      </c>
      <c r="E24" s="277">
        <v>102.36</v>
      </c>
      <c r="F24" s="277">
        <v>94.08</v>
      </c>
      <c r="G24" s="277">
        <v>112.5</v>
      </c>
    </row>
    <row r="25" spans="1:14" s="280" customFormat="1" ht="39.75" customHeight="1" hidden="1">
      <c r="A25" s="3"/>
      <c r="B25" s="528" t="s">
        <v>494</v>
      </c>
      <c r="C25" s="277">
        <v>99.52</v>
      </c>
      <c r="D25" s="277">
        <v>104.18</v>
      </c>
      <c r="E25" s="277">
        <v>103.62</v>
      </c>
      <c r="F25" s="277">
        <v>92.2</v>
      </c>
      <c r="G25" s="277">
        <v>112.35</v>
      </c>
      <c r="H25" s="3"/>
      <c r="I25" s="3"/>
      <c r="J25" s="279"/>
      <c r="K25" s="279"/>
      <c r="L25" s="279"/>
      <c r="M25" s="279"/>
      <c r="N25" s="279"/>
    </row>
    <row r="26" spans="1:9" s="280" customFormat="1" ht="39.75" customHeight="1" hidden="1">
      <c r="A26" s="3"/>
      <c r="B26" s="529" t="s">
        <v>495</v>
      </c>
      <c r="C26" s="277">
        <v>101.12</v>
      </c>
      <c r="D26" s="277">
        <v>104.08</v>
      </c>
      <c r="E26" s="277">
        <v>106.89</v>
      </c>
      <c r="F26" s="277">
        <v>92.96</v>
      </c>
      <c r="G26" s="277">
        <v>112.35</v>
      </c>
      <c r="H26" s="3"/>
      <c r="I26" s="3"/>
    </row>
    <row r="27" spans="2:9" s="280" customFormat="1" ht="30" customHeight="1">
      <c r="B27" s="527" t="s">
        <v>487</v>
      </c>
      <c r="C27" s="183">
        <f>AVERAGE(C28:C30)</f>
        <v>103.86333333333334</v>
      </c>
      <c r="D27" s="183">
        <f>AVERAGE(D28:D30)</f>
        <v>105.3</v>
      </c>
      <c r="E27" s="183">
        <f>AVERAGE(E28:E30)</f>
        <v>109.52333333333333</v>
      </c>
      <c r="F27" s="183">
        <f>AVERAGE(F28:F30)</f>
        <v>95.13</v>
      </c>
      <c r="G27" s="183">
        <f>AVERAGE(G28:G30)</f>
        <v>113.36666666666667</v>
      </c>
      <c r="I27" s="279"/>
    </row>
    <row r="28" spans="2:7" s="280" customFormat="1" ht="30" customHeight="1" hidden="1">
      <c r="B28" s="529" t="s">
        <v>496</v>
      </c>
      <c r="C28" s="183">
        <v>102.35</v>
      </c>
      <c r="D28" s="183">
        <v>104.28</v>
      </c>
      <c r="E28" s="183">
        <v>107.96</v>
      </c>
      <c r="F28" s="183">
        <v>93.97</v>
      </c>
      <c r="G28" s="183">
        <v>112.72</v>
      </c>
    </row>
    <row r="29" spans="1:9" ht="30" customHeight="1" hidden="1">
      <c r="A29" s="280"/>
      <c r="B29" s="529" t="s">
        <v>497</v>
      </c>
      <c r="C29" s="183">
        <v>104.7</v>
      </c>
      <c r="D29" s="183">
        <v>106.16</v>
      </c>
      <c r="E29" s="183">
        <v>110.58</v>
      </c>
      <c r="F29" s="183">
        <v>95.53</v>
      </c>
      <c r="G29" s="183">
        <v>113.4</v>
      </c>
      <c r="H29" s="280"/>
      <c r="I29" s="280"/>
    </row>
    <row r="30" spans="1:9" ht="30" customHeight="1" hidden="1" thickBot="1">
      <c r="A30" s="280"/>
      <c r="B30" s="530" t="s">
        <v>498</v>
      </c>
      <c r="C30" s="183">
        <v>104.54</v>
      </c>
      <c r="D30" s="183">
        <v>105.46</v>
      </c>
      <c r="E30" s="183">
        <v>110.03</v>
      </c>
      <c r="F30" s="183">
        <v>95.89</v>
      </c>
      <c r="G30" s="183">
        <v>113.98</v>
      </c>
      <c r="H30" s="280"/>
      <c r="I30" s="280"/>
    </row>
    <row r="31" spans="2:9" s="280" customFormat="1" ht="30" customHeight="1">
      <c r="B31" s="527" t="s">
        <v>488</v>
      </c>
      <c r="C31" s="183">
        <f>AVERAGE(C32:C34)</f>
        <v>104.90666666666668</v>
      </c>
      <c r="D31" s="183">
        <f>AVERAGE(D32:D34)</f>
        <v>105.17</v>
      </c>
      <c r="E31" s="183">
        <f>AVERAGE(E32:E34)</f>
        <v>111.43666666666667</v>
      </c>
      <c r="F31" s="183">
        <f>AVERAGE(F32:F34)</f>
        <v>95.61333333333334</v>
      </c>
      <c r="G31" s="183">
        <f>AVERAGE(G32:G34)</f>
        <v>113.21666666666668</v>
      </c>
      <c r="I31" s="279"/>
    </row>
    <row r="32" spans="2:7" s="280" customFormat="1" ht="30" customHeight="1" hidden="1">
      <c r="B32" s="529" t="s">
        <v>499</v>
      </c>
      <c r="C32" s="183">
        <v>103.94</v>
      </c>
      <c r="D32" s="183">
        <v>105.87</v>
      </c>
      <c r="E32" s="183">
        <v>110.03</v>
      </c>
      <c r="F32" s="183">
        <v>94.98</v>
      </c>
      <c r="G32" s="183">
        <v>113.19</v>
      </c>
    </row>
    <row r="33" spans="1:9" ht="30" customHeight="1" hidden="1">
      <c r="A33" s="280"/>
      <c r="B33" s="529" t="s">
        <v>500</v>
      </c>
      <c r="C33" s="183">
        <v>105.19</v>
      </c>
      <c r="D33" s="183">
        <v>105.07</v>
      </c>
      <c r="E33" s="183">
        <v>112.14</v>
      </c>
      <c r="F33" s="183">
        <v>95.8</v>
      </c>
      <c r="G33" s="183">
        <v>112.98</v>
      </c>
      <c r="H33" s="280"/>
      <c r="I33" s="280"/>
    </row>
    <row r="34" spans="1:9" ht="30" customHeight="1" hidden="1">
      <c r="A34" s="280"/>
      <c r="B34" s="529" t="s">
        <v>501</v>
      </c>
      <c r="C34" s="183">
        <v>105.59</v>
      </c>
      <c r="D34" s="183">
        <v>104.57</v>
      </c>
      <c r="E34" s="183">
        <v>112.14</v>
      </c>
      <c r="F34" s="183">
        <v>96.06</v>
      </c>
      <c r="G34" s="183">
        <v>113.48</v>
      </c>
      <c r="H34" s="280"/>
      <c r="I34" s="280"/>
    </row>
    <row r="35" spans="1:9" ht="30" customHeight="1">
      <c r="A35" s="280"/>
      <c r="B35" s="121" t="s">
        <v>502</v>
      </c>
      <c r="C35" s="646"/>
      <c r="D35" s="646"/>
      <c r="E35" s="183"/>
      <c r="F35" s="183"/>
      <c r="G35" s="183"/>
      <c r="H35" s="280"/>
      <c r="I35" s="280"/>
    </row>
    <row r="36" spans="1:9" ht="30" customHeight="1">
      <c r="A36" s="280"/>
      <c r="B36" s="527" t="s">
        <v>482</v>
      </c>
      <c r="C36" s="646">
        <v>106.46</v>
      </c>
      <c r="D36" s="646">
        <v>104.73</v>
      </c>
      <c r="E36" s="183">
        <v>112.48</v>
      </c>
      <c r="F36" s="183">
        <v>96.58</v>
      </c>
      <c r="G36" s="183">
        <v>115.396666666667</v>
      </c>
      <c r="H36" s="280"/>
      <c r="I36" s="280"/>
    </row>
    <row r="37" spans="1:9" ht="30" customHeight="1">
      <c r="A37" s="280"/>
      <c r="B37" s="527" t="s">
        <v>486</v>
      </c>
      <c r="C37" s="646">
        <f>AVERAGE(C38:C40)</f>
        <v>108.54333333333334</v>
      </c>
      <c r="D37" s="646">
        <f>AVERAGE(D38:D40)</f>
        <v>105.13999999999999</v>
      </c>
      <c r="E37" s="646">
        <f>AVERAGE(E38:E40)</f>
        <v>115.08333333333333</v>
      </c>
      <c r="F37" s="646">
        <f>AVERAGE(F38:F40)</f>
        <v>97.56</v>
      </c>
      <c r="G37" s="646">
        <f>AVERAGE(G38:G40)</f>
        <v>118.10333333333334</v>
      </c>
      <c r="H37" s="280"/>
      <c r="I37" s="280"/>
    </row>
    <row r="38" spans="1:9" ht="30" customHeight="1" hidden="1">
      <c r="A38" s="280"/>
      <c r="B38" s="647" t="s">
        <v>503</v>
      </c>
      <c r="C38" s="183">
        <v>108.51</v>
      </c>
      <c r="D38" s="183">
        <v>105.13</v>
      </c>
      <c r="E38" s="183">
        <v>115.58</v>
      </c>
      <c r="F38" s="183">
        <v>96.89</v>
      </c>
      <c r="G38" s="183">
        <v>118.91</v>
      </c>
      <c r="H38" s="280"/>
      <c r="I38" s="280"/>
    </row>
    <row r="39" spans="1:9" ht="30" customHeight="1" hidden="1">
      <c r="A39" s="280"/>
      <c r="B39" s="648" t="s">
        <v>504</v>
      </c>
      <c r="C39" s="183">
        <v>108.9</v>
      </c>
      <c r="D39" s="183">
        <v>104.97</v>
      </c>
      <c r="E39" s="183">
        <v>115.09</v>
      </c>
      <c r="F39" s="183">
        <v>97.91</v>
      </c>
      <c r="G39" s="183">
        <v>118.56</v>
      </c>
      <c r="H39" s="280"/>
      <c r="I39" s="280"/>
    </row>
    <row r="40" spans="1:7" ht="30" customHeight="1" hidden="1">
      <c r="A40" s="280"/>
      <c r="B40" s="709" t="s">
        <v>505</v>
      </c>
      <c r="C40" s="183">
        <v>108.22</v>
      </c>
      <c r="D40" s="183">
        <v>105.32</v>
      </c>
      <c r="E40" s="183">
        <v>114.58</v>
      </c>
      <c r="F40" s="183">
        <v>97.88</v>
      </c>
      <c r="G40" s="183">
        <v>116.84</v>
      </c>
    </row>
    <row r="41" spans="1:7" ht="30" customHeight="1">
      <c r="A41" s="280"/>
      <c r="B41" s="527" t="s">
        <v>506</v>
      </c>
      <c r="C41" s="646">
        <f>AVERAGE(C42:C44)</f>
        <v>108.15666666666668</v>
      </c>
      <c r="D41" s="183">
        <f>AVERAGE(D42:D44)</f>
        <v>105.69333333333333</v>
      </c>
      <c r="E41" s="183">
        <f>AVERAGE(E42:E44)</f>
        <v>115.63333333333334</v>
      </c>
      <c r="F41" s="183">
        <f>AVERAGE(F42:F44)</f>
        <v>97.15333333333335</v>
      </c>
      <c r="G41" s="183">
        <f>AVERAGE(G42:G44)</f>
        <v>116.71</v>
      </c>
    </row>
    <row r="42" spans="1:7" ht="30" customHeight="1" hidden="1">
      <c r="A42" s="280"/>
      <c r="B42" s="647" t="s">
        <v>507</v>
      </c>
      <c r="C42" s="646">
        <v>107.8</v>
      </c>
      <c r="D42" s="183">
        <v>105.65</v>
      </c>
      <c r="E42" s="183">
        <v>114.84</v>
      </c>
      <c r="F42" s="183">
        <v>97.26</v>
      </c>
      <c r="G42" s="183">
        <v>116.46</v>
      </c>
    </row>
    <row r="43" spans="1:7" ht="30" customHeight="1" hidden="1">
      <c r="A43" s="280"/>
      <c r="B43" s="647" t="s">
        <v>508</v>
      </c>
      <c r="C43" s="646">
        <v>108.19</v>
      </c>
      <c r="D43" s="183">
        <v>105.66</v>
      </c>
      <c r="E43" s="183">
        <v>115.64</v>
      </c>
      <c r="F43" s="183">
        <v>97.15</v>
      </c>
      <c r="G43" s="183">
        <v>116.76</v>
      </c>
    </row>
    <row r="44" spans="1:7" ht="30" customHeight="1" hidden="1">
      <c r="A44" s="280"/>
      <c r="B44" s="647" t="s">
        <v>509</v>
      </c>
      <c r="C44" s="646">
        <v>108.48</v>
      </c>
      <c r="D44" s="183">
        <v>105.77</v>
      </c>
      <c r="E44" s="183">
        <v>116.42</v>
      </c>
      <c r="F44" s="183">
        <v>97.05</v>
      </c>
      <c r="G44" s="183">
        <v>116.91</v>
      </c>
    </row>
    <row r="45" spans="1:7" ht="30" customHeight="1">
      <c r="A45" s="280"/>
      <c r="B45" s="527" t="s">
        <v>488</v>
      </c>
      <c r="C45" s="646">
        <f>AVERAGE(C46:C48)</f>
        <v>107.83666666666666</v>
      </c>
      <c r="D45" s="183">
        <f>AVERAGE(D46:D48)</f>
        <v>106.33666666666666</v>
      </c>
      <c r="E45" s="183">
        <f>AVERAGE(E46:E48)</f>
        <v>115.71666666666668</v>
      </c>
      <c r="F45" s="183">
        <f>AVERAGE(F46:F48)</f>
        <v>94.97333333333331</v>
      </c>
      <c r="G45" s="183">
        <f>AVERAGE(G46:G48)</f>
        <v>117.21999999999998</v>
      </c>
    </row>
    <row r="46" spans="1:7" ht="30" customHeight="1">
      <c r="A46" s="280"/>
      <c r="B46" s="648" t="s">
        <v>510</v>
      </c>
      <c r="C46" s="646">
        <v>107.78</v>
      </c>
      <c r="D46" s="183">
        <v>106.46</v>
      </c>
      <c r="E46" s="183">
        <v>115.74</v>
      </c>
      <c r="F46" s="183">
        <v>95.55</v>
      </c>
      <c r="G46" s="183">
        <v>116.72</v>
      </c>
    </row>
    <row r="47" spans="1:7" ht="30" customHeight="1">
      <c r="A47" s="280"/>
      <c r="B47" s="648" t="s">
        <v>511</v>
      </c>
      <c r="C47" s="646">
        <v>107.78</v>
      </c>
      <c r="D47" s="183">
        <v>106.67</v>
      </c>
      <c r="E47" s="183">
        <v>115.43</v>
      </c>
      <c r="F47" s="183">
        <v>94.96</v>
      </c>
      <c r="G47" s="183">
        <v>117.1</v>
      </c>
    </row>
    <row r="48" spans="1:7" ht="30" customHeight="1" thickBot="1">
      <c r="A48" s="280"/>
      <c r="B48" s="648" t="s">
        <v>512</v>
      </c>
      <c r="C48" s="646">
        <v>107.95</v>
      </c>
      <c r="D48" s="183">
        <v>105.88</v>
      </c>
      <c r="E48" s="183">
        <v>115.98</v>
      </c>
      <c r="F48" s="183">
        <v>94.41</v>
      </c>
      <c r="G48" s="183">
        <v>117.84</v>
      </c>
    </row>
    <row r="49" spans="2:7" ht="34.5" customHeight="1" thickBot="1">
      <c r="B49" s="222" t="s">
        <v>513</v>
      </c>
      <c r="C49" s="281">
        <f>(C45/C41-1)*100</f>
        <v>-0.2958671063580831</v>
      </c>
      <c r="D49" s="281">
        <f>(D45/D41-1)*100</f>
        <v>0.6086791976788186</v>
      </c>
      <c r="E49" s="281">
        <f>(E45/E41-1)*100</f>
        <v>0.07206687806284862</v>
      </c>
      <c r="F49" s="281">
        <f>(F45/F41-1)*100</f>
        <v>-2.24387566046802</v>
      </c>
      <c r="G49" s="281">
        <f>(G45/G41-1)*100</f>
        <v>0.4369805500813895</v>
      </c>
    </row>
    <row r="50" spans="2:7" ht="34.5" customHeight="1" thickBot="1">
      <c r="B50" s="259" t="s">
        <v>514</v>
      </c>
      <c r="C50" s="260">
        <f>(C45/C31-1)*100</f>
        <v>2.792958820538871</v>
      </c>
      <c r="D50" s="260">
        <f>(D45/D31-1)*100</f>
        <v>1.1093150771766203</v>
      </c>
      <c r="E50" s="260">
        <f>(E45/E31-1)*100</f>
        <v>3.840746612425616</v>
      </c>
      <c r="F50" s="260">
        <f>(F45/F31-1)*100</f>
        <v>-0.6693627109190081</v>
      </c>
      <c r="G50" s="260">
        <f>(G45/G31-1)*100</f>
        <v>3.535992933902521</v>
      </c>
    </row>
    <row r="51" spans="2:7" ht="18.75" customHeight="1">
      <c r="B51" s="994" t="s">
        <v>515</v>
      </c>
      <c r="C51" s="995"/>
      <c r="D51" s="995"/>
      <c r="E51" s="995"/>
      <c r="F51" s="995"/>
      <c r="G51" s="995"/>
    </row>
    <row r="52" spans="2:7" ht="18" customHeight="1">
      <c r="B52" s="1337" t="s">
        <v>516</v>
      </c>
      <c r="C52" s="1337"/>
      <c r="D52" s="1337"/>
      <c r="E52" s="1337"/>
      <c r="F52" s="1337"/>
      <c r="G52" s="1337"/>
    </row>
    <row r="53" spans="1:8" ht="26.25" customHeight="1">
      <c r="A53" s="899" t="s">
        <v>517</v>
      </c>
      <c r="B53" s="899"/>
      <c r="C53" s="899"/>
      <c r="D53" s="899"/>
      <c r="E53" s="899"/>
      <c r="F53" s="899"/>
      <c r="G53" s="899"/>
      <c r="H53" s="899"/>
    </row>
    <row r="54" spans="2:7" ht="15.75">
      <c r="B54" s="89"/>
      <c r="C54" s="89"/>
      <c r="D54" s="89"/>
      <c r="E54" s="89"/>
      <c r="F54" s="89"/>
      <c r="G54" s="89"/>
    </row>
    <row r="56" spans="2:7" ht="15.75">
      <c r="B56" s="89"/>
      <c r="C56" s="89"/>
      <c r="D56" s="89"/>
      <c r="E56" s="89"/>
      <c r="F56" s="89"/>
      <c r="G56" s="89"/>
    </row>
    <row r="57" spans="2:7" ht="15.75">
      <c r="B57" s="748"/>
      <c r="C57" s="748"/>
      <c r="D57" s="749"/>
      <c r="E57" s="748"/>
      <c r="F57" s="748"/>
      <c r="G57" s="748"/>
    </row>
    <row r="58" spans="2:7" ht="15.75">
      <c r="B58" s="1333"/>
      <c r="C58" s="1333"/>
      <c r="D58" s="1333"/>
      <c r="E58" s="1333"/>
      <c r="F58" s="1333"/>
      <c r="G58" s="1333"/>
    </row>
    <row r="65" ht="19.5" customHeight="1"/>
  </sheetData>
  <mergeCells count="8">
    <mergeCell ref="B2:G2"/>
    <mergeCell ref="A1:H1"/>
    <mergeCell ref="B58:G58"/>
    <mergeCell ref="B51:G51"/>
    <mergeCell ref="B52:G52"/>
    <mergeCell ref="A3:H3"/>
    <mergeCell ref="A4:H4"/>
    <mergeCell ref="A53:H5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1"/>
  <sheetViews>
    <sheetView showGridLines="0" zoomScaleSheetLayoutView="100" workbookViewId="0" topLeftCell="A1">
      <selection activeCell="O96" sqref="O96"/>
    </sheetView>
  </sheetViews>
  <sheetFormatPr defaultColWidth="9.00390625" defaultRowHeight="16.5"/>
  <cols>
    <col min="1" max="1" width="2.625" style="3" customWidth="1"/>
    <col min="2" max="11" width="8.625" style="3" customWidth="1"/>
    <col min="12" max="12" width="2.625" style="3" customWidth="1"/>
    <col min="13" max="17" width="9.00390625" style="3" customWidth="1"/>
    <col min="18" max="18" width="10.125" style="3" customWidth="1"/>
    <col min="19" max="16384" width="9.00390625" style="3" customWidth="1"/>
  </cols>
  <sheetData>
    <row r="1" spans="1:12" s="190" customFormat="1" ht="49.5" customHeight="1" thickBot="1">
      <c r="A1" s="869" t="s">
        <v>664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</row>
    <row r="2" spans="2:23" ht="81" customHeight="1">
      <c r="B2" s="871" t="s">
        <v>665</v>
      </c>
      <c r="C2" s="808"/>
      <c r="D2" s="808"/>
      <c r="E2" s="808"/>
      <c r="F2" s="808"/>
      <c r="G2" s="808"/>
      <c r="H2" s="808"/>
      <c r="I2" s="808"/>
      <c r="J2" s="808"/>
      <c r="K2" s="808"/>
      <c r="L2" s="174"/>
      <c r="P2" s="588" t="s">
        <v>666</v>
      </c>
      <c r="Q2" s="589" t="s">
        <v>596</v>
      </c>
      <c r="R2" s="590" t="s">
        <v>667</v>
      </c>
      <c r="T2" s="588" t="s">
        <v>666</v>
      </c>
      <c r="U2" s="591" t="s">
        <v>668</v>
      </c>
      <c r="V2" s="591" t="s">
        <v>669</v>
      </c>
      <c r="W2" s="592" t="s">
        <v>670</v>
      </c>
    </row>
    <row r="3" spans="16:23" ht="27.75" customHeight="1">
      <c r="P3" s="593">
        <v>82</v>
      </c>
      <c r="Q3" s="594">
        <v>462509</v>
      </c>
      <c r="R3" s="595"/>
      <c r="T3" s="598" t="s">
        <v>671</v>
      </c>
      <c r="U3" s="681">
        <v>422</v>
      </c>
      <c r="V3" s="681">
        <v>174</v>
      </c>
      <c r="W3" s="683">
        <v>248</v>
      </c>
    </row>
    <row r="4" spans="16:23" ht="31.5">
      <c r="P4" s="593">
        <v>83</v>
      </c>
      <c r="Q4" s="594">
        <v>464359</v>
      </c>
      <c r="R4" s="595">
        <v>463434</v>
      </c>
      <c r="T4" s="598" t="s">
        <v>672</v>
      </c>
      <c r="U4" s="681">
        <v>158</v>
      </c>
      <c r="V4" s="681">
        <v>-13</v>
      </c>
      <c r="W4" s="683">
        <v>171</v>
      </c>
    </row>
    <row r="5" spans="16:23" ht="16.5">
      <c r="P5" s="593">
        <v>84</v>
      </c>
      <c r="Q5" s="594">
        <v>465043</v>
      </c>
      <c r="R5" s="595">
        <v>464701</v>
      </c>
      <c r="T5" s="598" t="s">
        <v>673</v>
      </c>
      <c r="U5" s="681">
        <v>-1179</v>
      </c>
      <c r="V5" s="682">
        <v>-32</v>
      </c>
      <c r="W5" s="683">
        <v>-1147</v>
      </c>
    </row>
    <row r="6" spans="16:23" ht="16.5">
      <c r="P6" s="593">
        <v>85</v>
      </c>
      <c r="Q6" s="594">
        <v>465120</v>
      </c>
      <c r="R6" s="595">
        <v>465082</v>
      </c>
      <c r="T6" s="598" t="s">
        <v>674</v>
      </c>
      <c r="U6" s="716">
        <v>75</v>
      </c>
      <c r="V6" s="681">
        <v>63</v>
      </c>
      <c r="W6" s="717">
        <v>12</v>
      </c>
    </row>
    <row r="7" spans="16:23" ht="17.25" thickBot="1">
      <c r="P7" s="593">
        <v>86</v>
      </c>
      <c r="Q7" s="594">
        <v>466603</v>
      </c>
      <c r="R7" s="595">
        <v>465862</v>
      </c>
      <c r="S7" s="684"/>
      <c r="T7" s="718" t="s">
        <v>671</v>
      </c>
      <c r="U7" s="719">
        <v>-193</v>
      </c>
      <c r="V7" s="719">
        <v>62</v>
      </c>
      <c r="W7" s="720">
        <v>-255</v>
      </c>
    </row>
    <row r="8" spans="16:24" ht="16.5">
      <c r="P8" s="593">
        <v>87</v>
      </c>
      <c r="Q8" s="594">
        <v>465627</v>
      </c>
      <c r="R8" s="595">
        <v>466115</v>
      </c>
      <c r="S8" s="663"/>
      <c r="T8" s="99"/>
      <c r="U8" s="99"/>
      <c r="V8" s="99"/>
      <c r="W8" s="99"/>
      <c r="X8" s="99"/>
    </row>
    <row r="9" spans="16:23" ht="16.5">
      <c r="P9" s="593">
        <v>88</v>
      </c>
      <c r="Q9" s="594">
        <v>465004</v>
      </c>
      <c r="R9" s="595">
        <v>465316</v>
      </c>
      <c r="T9" s="99"/>
      <c r="U9" s="99"/>
      <c r="V9" s="99"/>
      <c r="W9" s="99"/>
    </row>
    <row r="10" spans="16:18" ht="16.5">
      <c r="P10" s="593">
        <v>89</v>
      </c>
      <c r="Q10" s="594">
        <v>465186</v>
      </c>
      <c r="R10" s="595">
        <v>465095</v>
      </c>
    </row>
    <row r="11" spans="16:18" ht="17.25" thickBot="1">
      <c r="P11" s="599">
        <v>90</v>
      </c>
      <c r="Q11" s="600">
        <v>465799</v>
      </c>
      <c r="R11" s="601">
        <v>465493</v>
      </c>
    </row>
    <row r="12" spans="16:18" ht="16.5">
      <c r="P12" s="602">
        <v>91</v>
      </c>
      <c r="Q12" s="603">
        <v>464107</v>
      </c>
      <c r="R12" s="604">
        <v>464953</v>
      </c>
    </row>
    <row r="13" spans="16:18" ht="16.5">
      <c r="P13" s="593" t="s">
        <v>675</v>
      </c>
      <c r="Q13" s="594">
        <v>466015</v>
      </c>
      <c r="R13" s="595">
        <v>465061</v>
      </c>
    </row>
    <row r="14" spans="16:18" ht="16.5">
      <c r="P14" s="593" t="s">
        <v>676</v>
      </c>
      <c r="Q14" s="594">
        <v>465150</v>
      </c>
      <c r="R14" s="595">
        <v>465583</v>
      </c>
    </row>
    <row r="15" spans="16:18" ht="16.5">
      <c r="P15" s="593" t="s">
        <v>677</v>
      </c>
      <c r="Q15" s="594">
        <v>464453</v>
      </c>
      <c r="R15" s="595">
        <v>464802</v>
      </c>
    </row>
    <row r="16" spans="16:18" ht="17.25" thickBot="1">
      <c r="P16" s="599" t="s">
        <v>678</v>
      </c>
      <c r="Q16" s="600">
        <v>464107</v>
      </c>
      <c r="R16" s="601">
        <v>464280</v>
      </c>
    </row>
    <row r="17" spans="16:18" ht="16.5">
      <c r="P17" s="602">
        <v>92</v>
      </c>
      <c r="Q17" s="603">
        <v>463285</v>
      </c>
      <c r="R17" s="604">
        <v>463696</v>
      </c>
    </row>
    <row r="18" spans="16:18" ht="16.5">
      <c r="P18" s="593" t="s">
        <v>675</v>
      </c>
      <c r="Q18" s="594">
        <v>463954</v>
      </c>
      <c r="R18" s="595">
        <v>464031</v>
      </c>
    </row>
    <row r="19" spans="16:18" ht="16.5">
      <c r="P19" s="593" t="s">
        <v>676</v>
      </c>
      <c r="Q19" s="594">
        <v>463606</v>
      </c>
      <c r="R19" s="595">
        <v>463780</v>
      </c>
    </row>
    <row r="20" spans="16:18" ht="16.5">
      <c r="P20" s="593" t="s">
        <v>677</v>
      </c>
      <c r="Q20" s="594">
        <v>463325</v>
      </c>
      <c r="R20" s="595">
        <v>463466</v>
      </c>
    </row>
    <row r="21" spans="16:18" ht="17.25" thickBot="1">
      <c r="P21" s="599" t="s">
        <v>678</v>
      </c>
      <c r="Q21" s="600">
        <v>463285</v>
      </c>
      <c r="R21" s="601">
        <v>463305</v>
      </c>
    </row>
    <row r="22" spans="16:18" ht="16.5">
      <c r="P22" s="602">
        <v>93</v>
      </c>
      <c r="Q22" s="605">
        <v>462286</v>
      </c>
      <c r="R22" s="604">
        <v>462786</v>
      </c>
    </row>
    <row r="23" spans="16:18" ht="16.5">
      <c r="P23" s="593" t="s">
        <v>675</v>
      </c>
      <c r="Q23" s="606">
        <v>462758</v>
      </c>
      <c r="R23" s="595">
        <v>463022</v>
      </c>
    </row>
    <row r="24" spans="16:18" ht="16.5">
      <c r="P24" s="593" t="s">
        <v>676</v>
      </c>
      <c r="Q24" s="606">
        <v>462313</v>
      </c>
      <c r="R24" s="595">
        <v>462536</v>
      </c>
    </row>
    <row r="25" spans="16:18" ht="16.5">
      <c r="P25" s="593" t="s">
        <v>677</v>
      </c>
      <c r="Q25" s="606">
        <v>462232</v>
      </c>
      <c r="R25" s="595">
        <v>462273</v>
      </c>
    </row>
    <row r="26" spans="16:18" ht="17.25" thickBot="1">
      <c r="P26" s="599" t="s">
        <v>678</v>
      </c>
      <c r="Q26" s="607">
        <v>462286</v>
      </c>
      <c r="R26" s="601">
        <v>462259</v>
      </c>
    </row>
    <row r="27" spans="16:18" ht="16.5">
      <c r="P27" s="602">
        <v>94</v>
      </c>
      <c r="Q27" s="608"/>
      <c r="R27" s="604">
        <v>461936</v>
      </c>
    </row>
    <row r="28" spans="16:18" ht="16.5">
      <c r="P28" s="593" t="s">
        <v>675</v>
      </c>
      <c r="Q28" s="606">
        <v>461978</v>
      </c>
      <c r="R28" s="595">
        <v>462132</v>
      </c>
    </row>
    <row r="29" spans="16:18" ht="16.5">
      <c r="P29" s="593" t="s">
        <v>676</v>
      </c>
      <c r="Q29" s="606">
        <v>461695</v>
      </c>
      <c r="R29" s="595">
        <v>461837</v>
      </c>
    </row>
    <row r="30" spans="16:18" ht="16.5">
      <c r="P30" s="593" t="s">
        <v>677</v>
      </c>
      <c r="Q30" s="606">
        <v>461467</v>
      </c>
      <c r="R30" s="595">
        <v>461581</v>
      </c>
    </row>
    <row r="31" spans="16:18" ht="17.25" thickBot="1">
      <c r="P31" s="599" t="s">
        <v>678</v>
      </c>
      <c r="Q31" s="607">
        <v>461586</v>
      </c>
      <c r="R31" s="601">
        <v>461527</v>
      </c>
    </row>
    <row r="32" spans="16:18" ht="16.5">
      <c r="P32" s="602">
        <v>95</v>
      </c>
      <c r="Q32" s="608"/>
      <c r="R32" s="604">
        <v>461006</v>
      </c>
    </row>
    <row r="33" spans="16:18" ht="16.5">
      <c r="P33" s="593" t="s">
        <v>675</v>
      </c>
      <c r="Q33" s="606">
        <v>461116</v>
      </c>
      <c r="R33" s="595">
        <v>461351</v>
      </c>
    </row>
    <row r="34" spans="16:18" ht="16.5">
      <c r="P34" s="593" t="s">
        <v>676</v>
      </c>
      <c r="Q34" s="606">
        <v>460855</v>
      </c>
      <c r="R34" s="595">
        <v>460986</v>
      </c>
    </row>
    <row r="35" spans="16:18" ht="16.5">
      <c r="P35" s="593" t="s">
        <v>677</v>
      </c>
      <c r="Q35" s="606">
        <v>460599</v>
      </c>
      <c r="R35" s="595">
        <v>460727</v>
      </c>
    </row>
    <row r="36" spans="16:18" ht="17.25" thickBot="1">
      <c r="P36" s="599" t="s">
        <v>678</v>
      </c>
      <c r="Q36" s="607">
        <v>460426</v>
      </c>
      <c r="R36" s="601">
        <v>460513</v>
      </c>
    </row>
    <row r="37" spans="16:18" ht="16.5">
      <c r="P37" s="602">
        <v>96</v>
      </c>
      <c r="Q37" s="608"/>
      <c r="R37" s="604">
        <v>460412</v>
      </c>
    </row>
    <row r="38" spans="16:18" ht="12" customHeight="1">
      <c r="P38" s="593" t="s">
        <v>675</v>
      </c>
      <c r="Q38" s="606">
        <v>460211</v>
      </c>
      <c r="R38" s="595">
        <v>460319</v>
      </c>
    </row>
    <row r="39" spans="16:18" ht="10.5" customHeight="1">
      <c r="P39" s="593" t="s">
        <v>676</v>
      </c>
      <c r="Q39" s="606">
        <v>460133</v>
      </c>
      <c r="R39" s="595">
        <v>460172</v>
      </c>
    </row>
    <row r="40" spans="16:18" ht="12" customHeight="1">
      <c r="P40" s="593" t="s">
        <v>677</v>
      </c>
      <c r="Q40" s="606">
        <v>460193</v>
      </c>
      <c r="R40" s="595">
        <f>(Q39+Q40)/2</f>
        <v>460163</v>
      </c>
    </row>
    <row r="41" spans="16:18" ht="9" customHeight="1" thickBot="1">
      <c r="P41" s="599" t="s">
        <v>678</v>
      </c>
      <c r="Q41" s="607">
        <v>460398</v>
      </c>
      <c r="R41" s="601">
        <v>460295.5</v>
      </c>
    </row>
    <row r="42" spans="16:18" ht="12" customHeight="1">
      <c r="P42" s="602">
        <v>97</v>
      </c>
      <c r="Q42" s="608"/>
      <c r="R42" s="604"/>
    </row>
    <row r="43" spans="1:18" ht="15.75" customHeight="1">
      <c r="A43" s="899" t="s">
        <v>679</v>
      </c>
      <c r="B43" s="899"/>
      <c r="C43" s="899"/>
      <c r="D43" s="899"/>
      <c r="E43" s="899"/>
      <c r="F43" s="899"/>
      <c r="G43" s="899"/>
      <c r="H43" s="899"/>
      <c r="I43" s="899"/>
      <c r="J43" s="899"/>
      <c r="K43" s="899"/>
      <c r="L43" s="899"/>
      <c r="P43" s="593" t="s">
        <v>675</v>
      </c>
      <c r="Q43" s="606">
        <v>460656</v>
      </c>
      <c r="R43" s="595">
        <v>460527</v>
      </c>
    </row>
    <row r="44" spans="1:18" ht="24.75" customHeight="1">
      <c r="A44" s="897" t="s">
        <v>680</v>
      </c>
      <c r="B44" s="898"/>
      <c r="C44" s="898"/>
      <c r="D44" s="898"/>
      <c r="E44" s="898"/>
      <c r="F44" s="898"/>
      <c r="G44" s="898"/>
      <c r="H44" s="898"/>
      <c r="I44" s="898"/>
      <c r="J44" s="898"/>
      <c r="K44" s="898"/>
      <c r="L44" s="898"/>
      <c r="P44" s="593" t="s">
        <v>676</v>
      </c>
      <c r="Q44" s="606">
        <v>461082</v>
      </c>
      <c r="R44" s="595">
        <v>460869</v>
      </c>
    </row>
    <row r="45" spans="1:18" ht="24.75" customHeight="1" thickBot="1">
      <c r="A45" s="898" t="s">
        <v>681</v>
      </c>
      <c r="B45" s="898"/>
      <c r="C45" s="898"/>
      <c r="D45" s="898"/>
      <c r="E45" s="898"/>
      <c r="F45" s="898"/>
      <c r="G45" s="898"/>
      <c r="H45" s="898"/>
      <c r="I45" s="898"/>
      <c r="J45" s="898"/>
      <c r="K45" s="898"/>
      <c r="L45" s="898"/>
      <c r="P45" s="593" t="s">
        <v>677</v>
      </c>
      <c r="Q45" s="606">
        <v>461094</v>
      </c>
      <c r="R45" s="595">
        <v>461088</v>
      </c>
    </row>
    <row r="46" spans="2:18" ht="24.75" customHeight="1" thickBot="1">
      <c r="B46" s="799" t="s">
        <v>682</v>
      </c>
      <c r="C46" s="809" t="s">
        <v>683</v>
      </c>
      <c r="D46" s="856" t="s">
        <v>684</v>
      </c>
      <c r="E46" s="857"/>
      <c r="F46" s="858"/>
      <c r="G46" s="856" t="s">
        <v>685</v>
      </c>
      <c r="H46" s="857"/>
      <c r="I46" s="858"/>
      <c r="J46" s="138" t="s">
        <v>686</v>
      </c>
      <c r="K46" s="106" t="s">
        <v>687</v>
      </c>
      <c r="P46" s="599" t="s">
        <v>678</v>
      </c>
      <c r="Q46" s="607">
        <v>460902</v>
      </c>
      <c r="R46" s="601">
        <v>460998</v>
      </c>
    </row>
    <row r="47" spans="2:18" ht="24.75" customHeight="1">
      <c r="B47" s="800"/>
      <c r="C47" s="810"/>
      <c r="D47" s="811" t="s">
        <v>688</v>
      </c>
      <c r="E47" s="812"/>
      <c r="F47" s="813"/>
      <c r="G47" s="811" t="s">
        <v>689</v>
      </c>
      <c r="H47" s="812"/>
      <c r="I47" s="813"/>
      <c r="J47" s="108" t="s">
        <v>690</v>
      </c>
      <c r="K47" s="187" t="s">
        <v>690</v>
      </c>
      <c r="P47" s="602">
        <v>98</v>
      </c>
      <c r="Q47" s="608"/>
      <c r="R47" s="604"/>
    </row>
    <row r="48" spans="2:18" ht="18" customHeight="1">
      <c r="B48" s="874" t="s">
        <v>691</v>
      </c>
      <c r="C48" s="821" t="s">
        <v>1337</v>
      </c>
      <c r="D48" s="851" t="s">
        <v>692</v>
      </c>
      <c r="E48" s="851" t="s">
        <v>693</v>
      </c>
      <c r="F48" s="851" t="s">
        <v>694</v>
      </c>
      <c r="G48" s="851" t="s">
        <v>692</v>
      </c>
      <c r="H48" s="851" t="s">
        <v>695</v>
      </c>
      <c r="I48" s="851" t="s">
        <v>696</v>
      </c>
      <c r="J48" s="852" t="s">
        <v>697</v>
      </c>
      <c r="K48" s="795" t="s">
        <v>698</v>
      </c>
      <c r="P48" s="593" t="s">
        <v>675</v>
      </c>
      <c r="Q48" s="606">
        <v>460908</v>
      </c>
      <c r="R48" s="595">
        <v>460905</v>
      </c>
    </row>
    <row r="49" spans="2:18" ht="18" customHeight="1">
      <c r="B49" s="874"/>
      <c r="C49" s="821"/>
      <c r="D49" s="798"/>
      <c r="E49" s="798"/>
      <c r="F49" s="798"/>
      <c r="G49" s="798"/>
      <c r="H49" s="798"/>
      <c r="I49" s="798"/>
      <c r="J49" s="794"/>
      <c r="K49" s="796"/>
      <c r="L49" s="170"/>
      <c r="P49" s="593" t="s">
        <v>676</v>
      </c>
      <c r="Q49" s="606">
        <v>461461</v>
      </c>
      <c r="R49" s="595">
        <v>461184.5</v>
      </c>
    </row>
    <row r="50" spans="2:18" ht="18" customHeight="1">
      <c r="B50" s="874"/>
      <c r="C50" s="821"/>
      <c r="D50" s="814" t="s">
        <v>1338</v>
      </c>
      <c r="E50" s="814" t="s">
        <v>1339</v>
      </c>
      <c r="F50" s="814" t="s">
        <v>1340</v>
      </c>
      <c r="G50" s="814" t="s">
        <v>1338</v>
      </c>
      <c r="H50" s="814" t="s">
        <v>1341</v>
      </c>
      <c r="I50" s="814" t="s">
        <v>1342</v>
      </c>
      <c r="J50" s="794"/>
      <c r="K50" s="796"/>
      <c r="L50" s="170"/>
      <c r="P50" s="593" t="s">
        <v>677</v>
      </c>
      <c r="Q50" s="606">
        <v>461203</v>
      </c>
      <c r="R50" s="595">
        <v>461332</v>
      </c>
    </row>
    <row r="51" spans="2:18" ht="17.25" thickBot="1">
      <c r="B51" s="875"/>
      <c r="C51" s="822"/>
      <c r="D51" s="866"/>
      <c r="E51" s="866"/>
      <c r="F51" s="866"/>
      <c r="G51" s="866"/>
      <c r="H51" s="866"/>
      <c r="I51" s="866"/>
      <c r="J51" s="845"/>
      <c r="K51" s="797"/>
      <c r="L51" s="170"/>
      <c r="P51" s="599" t="s">
        <v>678</v>
      </c>
      <c r="Q51" s="607">
        <v>461625</v>
      </c>
      <c r="R51" s="601">
        <v>461414</v>
      </c>
    </row>
    <row r="52" spans="2:18" ht="30.75" hidden="1">
      <c r="B52" s="115" t="s">
        <v>699</v>
      </c>
      <c r="C52" s="154">
        <f>D52+G52</f>
        <v>1850</v>
      </c>
      <c r="D52" s="154">
        <f>(E52-F52)</f>
        <v>4743</v>
      </c>
      <c r="E52" s="154">
        <v>7825</v>
      </c>
      <c r="F52" s="154">
        <v>3082</v>
      </c>
      <c r="G52" s="154">
        <f>(H52-I52)</f>
        <v>-2893</v>
      </c>
      <c r="H52" s="154">
        <v>27795</v>
      </c>
      <c r="I52" s="154">
        <v>30688</v>
      </c>
      <c r="J52" s="154">
        <v>3982</v>
      </c>
      <c r="K52" s="139">
        <v>635</v>
      </c>
      <c r="P52" s="602">
        <v>99</v>
      </c>
      <c r="Q52" s="608"/>
      <c r="R52" s="604"/>
    </row>
    <row r="53" spans="2:19" ht="16.5" hidden="1">
      <c r="B53" s="112" t="s">
        <v>701</v>
      </c>
      <c r="C53" s="154">
        <f>D53+G53</f>
        <v>684</v>
      </c>
      <c r="D53" s="154">
        <f>(E53-F53)</f>
        <v>4653</v>
      </c>
      <c r="E53" s="154">
        <v>7762</v>
      </c>
      <c r="F53" s="154">
        <v>3109</v>
      </c>
      <c r="G53" s="154">
        <f>(H53-I53)</f>
        <v>-3969</v>
      </c>
      <c r="H53" s="154">
        <v>26858</v>
      </c>
      <c r="I53" s="154">
        <v>30827</v>
      </c>
      <c r="J53" s="154">
        <v>3743</v>
      </c>
      <c r="K53" s="139">
        <v>595</v>
      </c>
      <c r="P53" s="593" t="s">
        <v>675</v>
      </c>
      <c r="Q53" s="669">
        <v>461783</v>
      </c>
      <c r="R53" s="685">
        <v>461704</v>
      </c>
      <c r="S53" s="663"/>
    </row>
    <row r="54" spans="2:19" ht="16.5" hidden="1">
      <c r="B54" s="112" t="s">
        <v>626</v>
      </c>
      <c r="C54" s="154">
        <f>D54+G54</f>
        <v>77</v>
      </c>
      <c r="D54" s="154">
        <f>(E54-F54)</f>
        <v>4396</v>
      </c>
      <c r="E54" s="154">
        <v>7511</v>
      </c>
      <c r="F54" s="154">
        <v>3115</v>
      </c>
      <c r="G54" s="154">
        <f>(H54-I54)</f>
        <v>-4319</v>
      </c>
      <c r="H54" s="154">
        <v>26424</v>
      </c>
      <c r="I54" s="154">
        <v>30743</v>
      </c>
      <c r="J54" s="154">
        <v>3820</v>
      </c>
      <c r="K54" s="139">
        <v>695</v>
      </c>
      <c r="P54" s="686" t="s">
        <v>676</v>
      </c>
      <c r="Q54" s="669">
        <v>460604</v>
      </c>
      <c r="R54" s="669">
        <v>461193.5</v>
      </c>
      <c r="S54" s="663"/>
    </row>
    <row r="55" spans="2:19" ht="16.5" hidden="1">
      <c r="B55" s="122"/>
      <c r="C55" s="154"/>
      <c r="D55" s="154"/>
      <c r="E55" s="154"/>
      <c r="F55" s="154"/>
      <c r="G55" s="154"/>
      <c r="H55" s="154"/>
      <c r="I55" s="154"/>
      <c r="J55" s="154"/>
      <c r="K55" s="139"/>
      <c r="P55" s="721" t="s">
        <v>677</v>
      </c>
      <c r="Q55" s="669">
        <v>460679</v>
      </c>
      <c r="R55" s="722">
        <v>460641.5</v>
      </c>
      <c r="S55" s="663"/>
    </row>
    <row r="56" spans="2:19" ht="17.25" hidden="1" thickBot="1">
      <c r="B56" s="112" t="s">
        <v>627</v>
      </c>
      <c r="C56" s="154">
        <f aca="true" t="shared" si="0" ref="C56:C66">D56+G56</f>
        <v>1483</v>
      </c>
      <c r="D56" s="154">
        <f>(E56-F56)</f>
        <v>4359</v>
      </c>
      <c r="E56" s="154">
        <v>7471</v>
      </c>
      <c r="F56" s="154">
        <v>3112</v>
      </c>
      <c r="G56" s="154">
        <f>(H56-I56)</f>
        <v>-2876</v>
      </c>
      <c r="H56" s="154">
        <v>31421</v>
      </c>
      <c r="I56" s="154">
        <v>34297</v>
      </c>
      <c r="J56" s="154">
        <v>3510</v>
      </c>
      <c r="K56" s="139">
        <v>642</v>
      </c>
      <c r="P56" s="599" t="s">
        <v>678</v>
      </c>
      <c r="Q56" s="723">
        <v>460486</v>
      </c>
      <c r="R56" s="724">
        <v>460582.5</v>
      </c>
      <c r="S56" s="663"/>
    </row>
    <row r="57" spans="2:17" ht="15.75" hidden="1">
      <c r="B57" s="112" t="s">
        <v>628</v>
      </c>
      <c r="C57" s="154">
        <f t="shared" si="0"/>
        <v>-976</v>
      </c>
      <c r="D57" s="153">
        <f>(E57-F57)</f>
        <v>2876</v>
      </c>
      <c r="E57" s="154">
        <v>5992</v>
      </c>
      <c r="F57" s="154">
        <v>3116</v>
      </c>
      <c r="G57" s="154">
        <f>(H57-I57)</f>
        <v>-3852</v>
      </c>
      <c r="H57" s="154">
        <v>28856</v>
      </c>
      <c r="I57" s="154">
        <v>32708</v>
      </c>
      <c r="J57" s="154">
        <v>3031</v>
      </c>
      <c r="K57" s="139">
        <v>808</v>
      </c>
      <c r="Q57" s="612"/>
    </row>
    <row r="58" spans="2:18" ht="15.75" hidden="1">
      <c r="B58" s="112" t="s">
        <v>629</v>
      </c>
      <c r="C58" s="154">
        <f t="shared" si="0"/>
        <v>-623</v>
      </c>
      <c r="D58" s="154">
        <f>(E58-F58)</f>
        <v>2789</v>
      </c>
      <c r="E58" s="154">
        <v>5951</v>
      </c>
      <c r="F58" s="154">
        <v>3162</v>
      </c>
      <c r="G58" s="154">
        <f>(H58-I58)</f>
        <v>-3412</v>
      </c>
      <c r="H58" s="154">
        <v>24185</v>
      </c>
      <c r="I58" s="154">
        <v>27597</v>
      </c>
      <c r="J58" s="154">
        <v>3526</v>
      </c>
      <c r="K58" s="154">
        <v>917</v>
      </c>
      <c r="P58" s="99"/>
      <c r="Q58" s="99"/>
      <c r="R58" s="99"/>
    </row>
    <row r="59" spans="2:18" ht="30" customHeight="1">
      <c r="B59" s="112" t="s">
        <v>630</v>
      </c>
      <c r="C59" s="154">
        <f t="shared" si="0"/>
        <v>182</v>
      </c>
      <c r="D59" s="154">
        <f>(E59-F59)</f>
        <v>3207</v>
      </c>
      <c r="E59" s="154">
        <v>6388</v>
      </c>
      <c r="F59" s="154">
        <v>3181</v>
      </c>
      <c r="G59" s="154">
        <f>(H59-I59)</f>
        <v>-3025</v>
      </c>
      <c r="H59" s="154">
        <v>24256</v>
      </c>
      <c r="I59" s="154">
        <v>27281</v>
      </c>
      <c r="J59" s="154">
        <v>3645</v>
      </c>
      <c r="K59" s="154">
        <v>937</v>
      </c>
      <c r="P59" s="609"/>
      <c r="Q59" s="99"/>
      <c r="R59" s="99"/>
    </row>
    <row r="60" spans="2:11" ht="30" customHeight="1">
      <c r="B60" s="112" t="s">
        <v>631</v>
      </c>
      <c r="C60" s="154">
        <f t="shared" si="0"/>
        <v>613</v>
      </c>
      <c r="D60" s="154">
        <f>(E60-F60)</f>
        <v>2328</v>
      </c>
      <c r="E60" s="154">
        <v>5487</v>
      </c>
      <c r="F60" s="154">
        <v>3159</v>
      </c>
      <c r="G60" s="154">
        <f>(H60-I60)</f>
        <v>-1715</v>
      </c>
      <c r="H60" s="154">
        <v>27695</v>
      </c>
      <c r="I60" s="154">
        <v>29410</v>
      </c>
      <c r="J60" s="154">
        <v>3357</v>
      </c>
      <c r="K60" s="154">
        <v>1054</v>
      </c>
    </row>
    <row r="61" spans="2:11" ht="30" customHeight="1">
      <c r="B61" s="112" t="s">
        <v>632</v>
      </c>
      <c r="C61" s="154">
        <f t="shared" si="0"/>
        <v>-1692</v>
      </c>
      <c r="D61" s="185">
        <f>E61-F61</f>
        <v>1809</v>
      </c>
      <c r="E61" s="154">
        <v>5092</v>
      </c>
      <c r="F61" s="154">
        <v>3283</v>
      </c>
      <c r="G61" s="154">
        <f>H61-I61</f>
        <v>-3501</v>
      </c>
      <c r="H61" s="154">
        <v>31659</v>
      </c>
      <c r="I61" s="154">
        <v>35160</v>
      </c>
      <c r="J61" s="154">
        <v>3334</v>
      </c>
      <c r="K61" s="154">
        <v>1146</v>
      </c>
    </row>
    <row r="62" spans="2:11" ht="30" customHeight="1" hidden="1">
      <c r="B62" s="112" t="s">
        <v>638</v>
      </c>
      <c r="C62" s="154">
        <f t="shared" si="0"/>
        <v>216</v>
      </c>
      <c r="D62" s="154">
        <f>(E62-F62)</f>
        <v>357</v>
      </c>
      <c r="E62" s="154">
        <v>1216</v>
      </c>
      <c r="F62" s="154">
        <v>859</v>
      </c>
      <c r="G62" s="154">
        <f>(H62-I62)</f>
        <v>-141</v>
      </c>
      <c r="H62" s="154">
        <v>10865</v>
      </c>
      <c r="I62" s="154">
        <v>11006</v>
      </c>
      <c r="J62" s="154">
        <v>849</v>
      </c>
      <c r="K62" s="154">
        <v>269</v>
      </c>
    </row>
    <row r="63" spans="2:11" ht="30" customHeight="1" hidden="1">
      <c r="B63" s="112" t="s">
        <v>639</v>
      </c>
      <c r="C63" s="154">
        <f t="shared" si="0"/>
        <v>-865</v>
      </c>
      <c r="D63" s="154">
        <f>(E63-F63)</f>
        <v>457</v>
      </c>
      <c r="E63" s="154">
        <v>1240</v>
      </c>
      <c r="F63" s="154">
        <v>783</v>
      </c>
      <c r="G63" s="154">
        <f>(H63-I63)</f>
        <v>-1322</v>
      </c>
      <c r="H63" s="154">
        <v>6881</v>
      </c>
      <c r="I63" s="154">
        <v>8203</v>
      </c>
      <c r="J63" s="154">
        <v>806</v>
      </c>
      <c r="K63" s="154">
        <v>272</v>
      </c>
    </row>
    <row r="64" spans="2:11" ht="30" customHeight="1" hidden="1">
      <c r="B64" s="112" t="s">
        <v>640</v>
      </c>
      <c r="C64" s="154">
        <f t="shared" si="0"/>
        <v>-697</v>
      </c>
      <c r="D64" s="154">
        <f>(E64-F64)</f>
        <v>429</v>
      </c>
      <c r="E64" s="154">
        <v>1276</v>
      </c>
      <c r="F64" s="154">
        <v>847</v>
      </c>
      <c r="G64" s="154">
        <f>(H64-I64)</f>
        <v>-1126</v>
      </c>
      <c r="H64" s="154">
        <v>8290</v>
      </c>
      <c r="I64" s="154">
        <v>9416</v>
      </c>
      <c r="J64" s="154">
        <v>672</v>
      </c>
      <c r="K64" s="154">
        <v>320</v>
      </c>
    </row>
    <row r="65" spans="2:11" ht="30" customHeight="1">
      <c r="B65" s="112" t="s">
        <v>637</v>
      </c>
      <c r="C65" s="158">
        <f t="shared" si="0"/>
        <v>-822</v>
      </c>
      <c r="D65" s="185">
        <f aca="true" t="shared" si="1" ref="D65:K65">SUM(D66:D72)</f>
        <v>1597</v>
      </c>
      <c r="E65" s="185">
        <f t="shared" si="1"/>
        <v>4701</v>
      </c>
      <c r="F65" s="185">
        <f t="shared" si="1"/>
        <v>3104</v>
      </c>
      <c r="G65" s="158">
        <f t="shared" si="1"/>
        <v>-2419</v>
      </c>
      <c r="H65" s="185">
        <f t="shared" si="1"/>
        <v>24068</v>
      </c>
      <c r="I65" s="185">
        <f t="shared" si="1"/>
        <v>26487</v>
      </c>
      <c r="J65" s="185">
        <f t="shared" si="1"/>
        <v>3237</v>
      </c>
      <c r="K65" s="185">
        <f t="shared" si="1"/>
        <v>1147</v>
      </c>
    </row>
    <row r="66" spans="2:11" ht="30" customHeight="1" hidden="1">
      <c r="B66" s="112" t="s">
        <v>638</v>
      </c>
      <c r="C66" s="815">
        <f t="shared" si="0"/>
        <v>-153</v>
      </c>
      <c r="D66" s="885">
        <f>(E66-F66)</f>
        <v>389</v>
      </c>
      <c r="E66" s="885">
        <v>1193</v>
      </c>
      <c r="F66" s="885">
        <v>804</v>
      </c>
      <c r="G66" s="885">
        <f>(H66-I66)</f>
        <v>-542</v>
      </c>
      <c r="H66" s="885">
        <v>5909</v>
      </c>
      <c r="I66" s="885">
        <v>6451</v>
      </c>
      <c r="J66" s="885">
        <v>788</v>
      </c>
      <c r="K66" s="885">
        <v>248</v>
      </c>
    </row>
    <row r="67" spans="2:11" ht="30" customHeight="1" hidden="1">
      <c r="B67" s="122" t="s">
        <v>1333</v>
      </c>
      <c r="C67" s="815"/>
      <c r="D67" s="885"/>
      <c r="E67" s="885"/>
      <c r="F67" s="885"/>
      <c r="G67" s="885"/>
      <c r="H67" s="885"/>
      <c r="I67" s="885"/>
      <c r="J67" s="885"/>
      <c r="K67" s="885"/>
    </row>
    <row r="68" spans="2:11" ht="30" customHeight="1" hidden="1">
      <c r="B68" s="112" t="s">
        <v>639</v>
      </c>
      <c r="C68" s="815">
        <f>D68+G68</f>
        <v>-348</v>
      </c>
      <c r="D68" s="885">
        <f>(E68-F68)</f>
        <v>271</v>
      </c>
      <c r="E68" s="885">
        <v>1092</v>
      </c>
      <c r="F68" s="885">
        <v>821</v>
      </c>
      <c r="G68" s="885">
        <f>(H68-I68)</f>
        <v>-619</v>
      </c>
      <c r="H68" s="885">
        <v>5961</v>
      </c>
      <c r="I68" s="885">
        <v>6580</v>
      </c>
      <c r="J68" s="885">
        <v>790</v>
      </c>
      <c r="K68" s="885">
        <v>274</v>
      </c>
    </row>
    <row r="69" spans="2:11" ht="30" customHeight="1" hidden="1">
      <c r="B69" s="122" t="s">
        <v>1334</v>
      </c>
      <c r="C69" s="815"/>
      <c r="D69" s="885"/>
      <c r="E69" s="885"/>
      <c r="F69" s="885"/>
      <c r="G69" s="885"/>
      <c r="H69" s="885"/>
      <c r="I69" s="885"/>
      <c r="J69" s="885"/>
      <c r="K69" s="885"/>
    </row>
    <row r="70" spans="2:11" ht="30" customHeight="1" hidden="1">
      <c r="B70" s="112" t="s">
        <v>640</v>
      </c>
      <c r="C70" s="815">
        <f>D70+G70</f>
        <v>-281</v>
      </c>
      <c r="D70" s="885">
        <f>(E70-F70)</f>
        <v>434</v>
      </c>
      <c r="E70" s="885">
        <v>1175</v>
      </c>
      <c r="F70" s="885">
        <v>741</v>
      </c>
      <c r="G70" s="885">
        <f>(H70-I70)</f>
        <v>-715</v>
      </c>
      <c r="H70" s="885">
        <v>6737</v>
      </c>
      <c r="I70" s="885">
        <v>7452</v>
      </c>
      <c r="J70" s="885">
        <v>637</v>
      </c>
      <c r="K70" s="885">
        <v>319</v>
      </c>
    </row>
    <row r="71" spans="2:11" ht="30" customHeight="1" hidden="1">
      <c r="B71" s="122" t="s">
        <v>1335</v>
      </c>
      <c r="C71" s="815"/>
      <c r="D71" s="885"/>
      <c r="E71" s="885"/>
      <c r="F71" s="885"/>
      <c r="G71" s="885"/>
      <c r="H71" s="885"/>
      <c r="I71" s="885"/>
      <c r="J71" s="885"/>
      <c r="K71" s="885"/>
    </row>
    <row r="72" spans="2:11" ht="30" customHeight="1" hidden="1">
      <c r="B72" s="112" t="s">
        <v>641</v>
      </c>
      <c r="C72" s="815">
        <f>D72+G72</f>
        <v>-40</v>
      </c>
      <c r="D72" s="885">
        <f>(E72-F72)</f>
        <v>503</v>
      </c>
      <c r="E72" s="885">
        <v>1241</v>
      </c>
      <c r="F72" s="885">
        <v>738</v>
      </c>
      <c r="G72" s="885">
        <f>(H72-I72)</f>
        <v>-543</v>
      </c>
      <c r="H72" s="885">
        <v>5461</v>
      </c>
      <c r="I72" s="885">
        <v>6004</v>
      </c>
      <c r="J72" s="885">
        <v>1022</v>
      </c>
      <c r="K72" s="885">
        <v>306</v>
      </c>
    </row>
    <row r="73" spans="2:11" ht="30" customHeight="1" hidden="1">
      <c r="B73" s="122" t="s">
        <v>1336</v>
      </c>
      <c r="C73" s="815"/>
      <c r="D73" s="885"/>
      <c r="E73" s="885"/>
      <c r="F73" s="885"/>
      <c r="G73" s="885"/>
      <c r="H73" s="885"/>
      <c r="I73" s="885"/>
      <c r="J73" s="885"/>
      <c r="K73" s="885"/>
    </row>
    <row r="74" spans="2:11" ht="30" customHeight="1">
      <c r="B74" s="112" t="s">
        <v>642</v>
      </c>
      <c r="C74" s="176">
        <f aca="true" t="shared" si="2" ref="C74:K74">SUM(C75:C82)</f>
        <v>-999</v>
      </c>
      <c r="D74" s="158">
        <f t="shared" si="2"/>
        <v>1267</v>
      </c>
      <c r="E74" s="158">
        <f t="shared" si="2"/>
        <v>4428</v>
      </c>
      <c r="F74" s="158">
        <f t="shared" si="2"/>
        <v>3161</v>
      </c>
      <c r="G74" s="158">
        <f t="shared" si="2"/>
        <v>-2266</v>
      </c>
      <c r="H74" s="158">
        <f t="shared" si="2"/>
        <v>23748</v>
      </c>
      <c r="I74" s="158">
        <f t="shared" si="2"/>
        <v>26014</v>
      </c>
      <c r="J74" s="158">
        <f t="shared" si="2"/>
        <v>2597</v>
      </c>
      <c r="K74" s="186">
        <f t="shared" si="2"/>
        <v>1135</v>
      </c>
    </row>
    <row r="75" spans="2:11" ht="30" customHeight="1" hidden="1">
      <c r="B75" s="112" t="s">
        <v>643</v>
      </c>
      <c r="C75" s="815">
        <f>D75+G75</f>
        <v>-527</v>
      </c>
      <c r="D75" s="885">
        <f>(E75-F75)</f>
        <v>205</v>
      </c>
      <c r="E75" s="885">
        <v>1095</v>
      </c>
      <c r="F75" s="885">
        <v>890</v>
      </c>
      <c r="G75" s="885">
        <f>(H75-I75)</f>
        <v>-732</v>
      </c>
      <c r="H75" s="885">
        <v>5402</v>
      </c>
      <c r="I75" s="885">
        <v>6134</v>
      </c>
      <c r="J75" s="885">
        <v>894</v>
      </c>
      <c r="K75" s="885">
        <v>264</v>
      </c>
    </row>
    <row r="76" spans="2:11" ht="30" customHeight="1" hidden="1">
      <c r="B76" s="122" t="s">
        <v>1333</v>
      </c>
      <c r="C76" s="815"/>
      <c r="D76" s="885"/>
      <c r="E76" s="885"/>
      <c r="F76" s="885"/>
      <c r="G76" s="885"/>
      <c r="H76" s="885"/>
      <c r="I76" s="885"/>
      <c r="J76" s="885"/>
      <c r="K76" s="885"/>
    </row>
    <row r="77" spans="2:11" ht="30" customHeight="1" hidden="1">
      <c r="B77" s="112" t="s">
        <v>644</v>
      </c>
      <c r="C77" s="815">
        <f>D77+G77</f>
        <v>-445</v>
      </c>
      <c r="D77" s="885">
        <f>(E77-F77)</f>
        <v>237</v>
      </c>
      <c r="E77" s="885">
        <v>1009</v>
      </c>
      <c r="F77" s="885">
        <v>772</v>
      </c>
      <c r="G77" s="885">
        <f>(H77-I77)</f>
        <v>-682</v>
      </c>
      <c r="H77" s="885">
        <v>6231</v>
      </c>
      <c r="I77" s="885">
        <v>6913</v>
      </c>
      <c r="J77" s="885">
        <v>537</v>
      </c>
      <c r="K77" s="885">
        <v>283</v>
      </c>
    </row>
    <row r="78" spans="2:11" ht="30" customHeight="1" hidden="1">
      <c r="B78" s="122" t="s">
        <v>1334</v>
      </c>
      <c r="C78" s="815"/>
      <c r="D78" s="885"/>
      <c r="E78" s="885"/>
      <c r="F78" s="885"/>
      <c r="G78" s="885"/>
      <c r="H78" s="885"/>
      <c r="I78" s="885"/>
      <c r="J78" s="885"/>
      <c r="K78" s="885"/>
    </row>
    <row r="79" spans="2:11" ht="30" customHeight="1" hidden="1">
      <c r="B79" s="112" t="s">
        <v>645</v>
      </c>
      <c r="C79" s="815">
        <f>D79+G79</f>
        <v>-81</v>
      </c>
      <c r="D79" s="885">
        <f>(E79-F79)</f>
        <v>347</v>
      </c>
      <c r="E79" s="885">
        <v>1106</v>
      </c>
      <c r="F79" s="885">
        <v>759</v>
      </c>
      <c r="G79" s="885">
        <f>(H79-I79)</f>
        <v>-428</v>
      </c>
      <c r="H79" s="885">
        <v>6928</v>
      </c>
      <c r="I79" s="885">
        <v>7356</v>
      </c>
      <c r="J79" s="885">
        <v>494</v>
      </c>
      <c r="K79" s="885">
        <v>304</v>
      </c>
    </row>
    <row r="80" spans="2:11" ht="30" customHeight="1" hidden="1">
      <c r="B80" s="122" t="s">
        <v>1335</v>
      </c>
      <c r="C80" s="815"/>
      <c r="D80" s="885"/>
      <c r="E80" s="885"/>
      <c r="F80" s="885"/>
      <c r="G80" s="885"/>
      <c r="H80" s="885"/>
      <c r="I80" s="885"/>
      <c r="J80" s="885"/>
      <c r="K80" s="885"/>
    </row>
    <row r="81" spans="2:11" ht="30" customHeight="1" hidden="1">
      <c r="B81" s="112" t="s">
        <v>646</v>
      </c>
      <c r="C81" s="815">
        <f>D81+G81</f>
        <v>54</v>
      </c>
      <c r="D81" s="885">
        <f>(E81-F81)</f>
        <v>478</v>
      </c>
      <c r="E81" s="885">
        <v>1218</v>
      </c>
      <c r="F81" s="885">
        <v>740</v>
      </c>
      <c r="G81" s="885">
        <f>(H81-I81)</f>
        <v>-424</v>
      </c>
      <c r="H81" s="885">
        <v>5187</v>
      </c>
      <c r="I81" s="885">
        <v>5611</v>
      </c>
      <c r="J81" s="885">
        <v>672</v>
      </c>
      <c r="K81" s="885">
        <v>284</v>
      </c>
    </row>
    <row r="82" spans="2:11" ht="30" customHeight="1" hidden="1">
      <c r="B82" s="122" t="s">
        <v>1336</v>
      </c>
      <c r="C82" s="815"/>
      <c r="D82" s="885"/>
      <c r="E82" s="885"/>
      <c r="F82" s="885"/>
      <c r="G82" s="885"/>
      <c r="H82" s="885"/>
      <c r="I82" s="885"/>
      <c r="J82" s="885"/>
      <c r="K82" s="885"/>
    </row>
    <row r="83" spans="2:11" ht="30" customHeight="1">
      <c r="B83" s="112" t="s">
        <v>647</v>
      </c>
      <c r="C83" s="176">
        <f aca="true" t="shared" si="3" ref="C83:K83">SUM(C84:C91)</f>
        <v>-700</v>
      </c>
      <c r="D83" s="186">
        <f t="shared" si="3"/>
        <v>877</v>
      </c>
      <c r="E83" s="186">
        <f t="shared" si="3"/>
        <v>4098</v>
      </c>
      <c r="F83" s="186">
        <f t="shared" si="3"/>
        <v>3221</v>
      </c>
      <c r="G83" s="158">
        <f t="shared" si="3"/>
        <v>-1577</v>
      </c>
      <c r="H83" s="186">
        <f t="shared" si="3"/>
        <v>27389</v>
      </c>
      <c r="I83" s="186">
        <f t="shared" si="3"/>
        <v>28966</v>
      </c>
      <c r="J83" s="186">
        <f t="shared" si="3"/>
        <v>2636</v>
      </c>
      <c r="K83" s="186">
        <f t="shared" si="3"/>
        <v>1149</v>
      </c>
    </row>
    <row r="84" spans="2:11" ht="16.5" customHeight="1" hidden="1">
      <c r="B84" s="112" t="s">
        <v>643</v>
      </c>
      <c r="C84" s="815">
        <f>D84+G84</f>
        <v>-308</v>
      </c>
      <c r="D84" s="885">
        <f>(E84-F84)</f>
        <v>173</v>
      </c>
      <c r="E84" s="885">
        <v>1008</v>
      </c>
      <c r="F84" s="885">
        <v>835</v>
      </c>
      <c r="G84" s="885">
        <f>(H84-I84)</f>
        <v>-481</v>
      </c>
      <c r="H84" s="885">
        <v>5523</v>
      </c>
      <c r="I84" s="885">
        <v>6004</v>
      </c>
      <c r="J84" s="885">
        <v>682</v>
      </c>
      <c r="K84" s="885">
        <v>245</v>
      </c>
    </row>
    <row r="85" spans="2:11" ht="16.5" customHeight="1" hidden="1">
      <c r="B85" s="122" t="s">
        <v>1333</v>
      </c>
      <c r="C85" s="815"/>
      <c r="D85" s="885"/>
      <c r="E85" s="885"/>
      <c r="F85" s="885"/>
      <c r="G85" s="885"/>
      <c r="H85" s="885"/>
      <c r="I85" s="885"/>
      <c r="J85" s="885"/>
      <c r="K85" s="885"/>
    </row>
    <row r="86" spans="2:11" ht="16.5" customHeight="1" hidden="1">
      <c r="B86" s="112" t="s">
        <v>644</v>
      </c>
      <c r="C86" s="815">
        <f>D86+G86</f>
        <v>-283</v>
      </c>
      <c r="D86" s="885">
        <f>(E86-F86)</f>
        <v>199</v>
      </c>
      <c r="E86" s="885">
        <v>1018</v>
      </c>
      <c r="F86" s="885">
        <v>819</v>
      </c>
      <c r="G86" s="885">
        <f>(H86-I86)</f>
        <v>-482</v>
      </c>
      <c r="H86" s="885">
        <v>8052</v>
      </c>
      <c r="I86" s="885">
        <v>8534</v>
      </c>
      <c r="J86" s="885">
        <v>637</v>
      </c>
      <c r="K86" s="885">
        <v>282</v>
      </c>
    </row>
    <row r="87" spans="2:11" ht="16.5" customHeight="1" hidden="1">
      <c r="B87" s="122" t="s">
        <v>1334</v>
      </c>
      <c r="C87" s="815"/>
      <c r="D87" s="885"/>
      <c r="E87" s="885"/>
      <c r="F87" s="885"/>
      <c r="G87" s="885"/>
      <c r="H87" s="885"/>
      <c r="I87" s="885"/>
      <c r="J87" s="885"/>
      <c r="K87" s="885"/>
    </row>
    <row r="88" spans="2:11" ht="16.5" customHeight="1" hidden="1">
      <c r="B88" s="112" t="s">
        <v>645</v>
      </c>
      <c r="C88" s="815">
        <f>D88+G88</f>
        <v>-228</v>
      </c>
      <c r="D88" s="885">
        <f>(E88-F88)</f>
        <v>233</v>
      </c>
      <c r="E88" s="885">
        <v>1012</v>
      </c>
      <c r="F88" s="885">
        <v>779</v>
      </c>
      <c r="G88" s="885">
        <f>(H88-I88)</f>
        <v>-461</v>
      </c>
      <c r="H88" s="885">
        <v>7863</v>
      </c>
      <c r="I88" s="885">
        <v>8324</v>
      </c>
      <c r="J88" s="885">
        <v>538</v>
      </c>
      <c r="K88" s="885">
        <v>320</v>
      </c>
    </row>
    <row r="89" spans="2:11" ht="16.5" customHeight="1" hidden="1">
      <c r="B89" s="122" t="s">
        <v>1335</v>
      </c>
      <c r="C89" s="815"/>
      <c r="D89" s="885"/>
      <c r="E89" s="885"/>
      <c r="F89" s="885"/>
      <c r="G89" s="885"/>
      <c r="H89" s="885"/>
      <c r="I89" s="885"/>
      <c r="J89" s="885"/>
      <c r="K89" s="885"/>
    </row>
    <row r="90" spans="2:11" ht="16.5" customHeight="1" hidden="1">
      <c r="B90" s="112" t="s">
        <v>646</v>
      </c>
      <c r="C90" s="815">
        <f>D90+G90</f>
        <v>119</v>
      </c>
      <c r="D90" s="885">
        <f>(E90-F90)</f>
        <v>272</v>
      </c>
      <c r="E90" s="885">
        <v>1060</v>
      </c>
      <c r="F90" s="885">
        <v>788</v>
      </c>
      <c r="G90" s="885">
        <f>(H90-I90)</f>
        <v>-153</v>
      </c>
      <c r="H90" s="885">
        <v>5951</v>
      </c>
      <c r="I90" s="885">
        <v>6104</v>
      </c>
      <c r="J90" s="885">
        <v>779</v>
      </c>
      <c r="K90" s="885">
        <v>302</v>
      </c>
    </row>
    <row r="91" spans="2:11" ht="16.5" customHeight="1" hidden="1">
      <c r="B91" s="122" t="s">
        <v>1336</v>
      </c>
      <c r="C91" s="815"/>
      <c r="D91" s="885"/>
      <c r="E91" s="885"/>
      <c r="F91" s="885"/>
      <c r="G91" s="885"/>
      <c r="H91" s="885"/>
      <c r="I91" s="885"/>
      <c r="J91" s="885"/>
      <c r="K91" s="885"/>
    </row>
    <row r="92" spans="2:12" ht="30" customHeight="1">
      <c r="B92" s="112" t="s">
        <v>648</v>
      </c>
      <c r="C92" s="158">
        <f aca="true" t="shared" si="4" ref="C92:K92">SUM(C93:C100)</f>
        <v>-1160</v>
      </c>
      <c r="D92" s="158">
        <f t="shared" si="4"/>
        <v>735</v>
      </c>
      <c r="E92" s="158">
        <f t="shared" si="4"/>
        <v>3952</v>
      </c>
      <c r="F92" s="158">
        <f t="shared" si="4"/>
        <v>3217</v>
      </c>
      <c r="G92" s="158">
        <f t="shared" si="4"/>
        <v>-1895</v>
      </c>
      <c r="H92" s="158">
        <f t="shared" si="4"/>
        <v>25830</v>
      </c>
      <c r="I92" s="158">
        <f t="shared" si="4"/>
        <v>27725</v>
      </c>
      <c r="J92" s="158">
        <f t="shared" si="4"/>
        <v>2662</v>
      </c>
      <c r="K92" s="158">
        <f t="shared" si="4"/>
        <v>1224</v>
      </c>
      <c r="L92" s="160"/>
    </row>
    <row r="93" spans="2:11" ht="16.5" customHeight="1" hidden="1">
      <c r="B93" s="112" t="s">
        <v>643</v>
      </c>
      <c r="C93" s="815">
        <f>D93+G93</f>
        <v>-470</v>
      </c>
      <c r="D93" s="885">
        <f>(E93-F93)</f>
        <v>79</v>
      </c>
      <c r="E93" s="885">
        <v>971</v>
      </c>
      <c r="F93" s="885">
        <v>892</v>
      </c>
      <c r="G93" s="885">
        <f>(H93-I93)</f>
        <v>-549</v>
      </c>
      <c r="H93" s="885">
        <v>6429</v>
      </c>
      <c r="I93" s="885">
        <v>6978</v>
      </c>
      <c r="J93" s="885">
        <v>711</v>
      </c>
      <c r="K93" s="885">
        <v>286</v>
      </c>
    </row>
    <row r="94" spans="2:11" ht="16.5" customHeight="1" hidden="1">
      <c r="B94" s="122" t="s">
        <v>1333</v>
      </c>
      <c r="C94" s="815"/>
      <c r="D94" s="885"/>
      <c r="E94" s="885"/>
      <c r="F94" s="885"/>
      <c r="G94" s="885"/>
      <c r="H94" s="885"/>
      <c r="I94" s="885"/>
      <c r="J94" s="885"/>
      <c r="K94" s="885"/>
    </row>
    <row r="95" spans="2:11" ht="16.5" customHeight="1" hidden="1">
      <c r="B95" s="112" t="s">
        <v>644</v>
      </c>
      <c r="C95" s="815">
        <f>D95+G95</f>
        <v>-261</v>
      </c>
      <c r="D95" s="885">
        <f>(E95-F95)</f>
        <v>185</v>
      </c>
      <c r="E95" s="885">
        <v>947</v>
      </c>
      <c r="F95" s="885">
        <v>762</v>
      </c>
      <c r="G95" s="885">
        <f>(H95-I95)</f>
        <v>-446</v>
      </c>
      <c r="H95" s="885">
        <v>6071</v>
      </c>
      <c r="I95" s="885">
        <v>6517</v>
      </c>
      <c r="J95" s="885">
        <v>664</v>
      </c>
      <c r="K95" s="885">
        <v>311</v>
      </c>
    </row>
    <row r="96" spans="2:11" ht="16.5" customHeight="1" hidden="1">
      <c r="B96" s="122" t="s">
        <v>1334</v>
      </c>
      <c r="C96" s="815"/>
      <c r="D96" s="885"/>
      <c r="E96" s="885"/>
      <c r="F96" s="885"/>
      <c r="G96" s="885"/>
      <c r="H96" s="885"/>
      <c r="I96" s="885"/>
      <c r="J96" s="885"/>
      <c r="K96" s="885"/>
    </row>
    <row r="97" spans="2:11" ht="16.5" customHeight="1" hidden="1">
      <c r="B97" s="112" t="s">
        <v>645</v>
      </c>
      <c r="C97" s="815">
        <f>D97+G97</f>
        <v>-256</v>
      </c>
      <c r="D97" s="885">
        <f>(E97-F97)</f>
        <v>203</v>
      </c>
      <c r="E97" s="885">
        <v>965</v>
      </c>
      <c r="F97" s="885">
        <v>762</v>
      </c>
      <c r="G97" s="885">
        <f>(H97-I97)</f>
        <v>-459</v>
      </c>
      <c r="H97" s="885">
        <v>7072</v>
      </c>
      <c r="I97" s="885">
        <v>7531</v>
      </c>
      <c r="J97" s="885">
        <v>452</v>
      </c>
      <c r="K97" s="885">
        <v>337</v>
      </c>
    </row>
    <row r="98" spans="2:11" ht="16.5" customHeight="1" hidden="1">
      <c r="B98" s="122" t="s">
        <v>1335</v>
      </c>
      <c r="C98" s="815"/>
      <c r="D98" s="885"/>
      <c r="E98" s="885"/>
      <c r="F98" s="885"/>
      <c r="G98" s="885"/>
      <c r="H98" s="885"/>
      <c r="I98" s="885"/>
      <c r="J98" s="885"/>
      <c r="K98" s="885"/>
    </row>
    <row r="99" spans="2:11" ht="16.5" customHeight="1" hidden="1">
      <c r="B99" s="112" t="s">
        <v>646</v>
      </c>
      <c r="C99" s="815">
        <v>-173</v>
      </c>
      <c r="D99" s="885">
        <v>268</v>
      </c>
      <c r="E99" s="885">
        <v>1069</v>
      </c>
      <c r="F99" s="885">
        <v>801</v>
      </c>
      <c r="G99" s="885">
        <v>-441</v>
      </c>
      <c r="H99" s="885">
        <v>6258</v>
      </c>
      <c r="I99" s="885">
        <v>6699</v>
      </c>
      <c r="J99" s="885">
        <v>835</v>
      </c>
      <c r="K99" s="885">
        <v>290</v>
      </c>
    </row>
    <row r="100" spans="2:11" ht="16.5" customHeight="1" hidden="1">
      <c r="B100" s="122" t="s">
        <v>1336</v>
      </c>
      <c r="C100" s="815"/>
      <c r="D100" s="885"/>
      <c r="E100" s="885"/>
      <c r="F100" s="885"/>
      <c r="G100" s="885"/>
      <c r="H100" s="885"/>
      <c r="I100" s="885"/>
      <c r="J100" s="885"/>
      <c r="K100" s="885"/>
    </row>
    <row r="101" spans="1:12" ht="30" customHeight="1">
      <c r="A101" s="99"/>
      <c r="B101" s="112" t="s">
        <v>649</v>
      </c>
      <c r="C101" s="158">
        <f aca="true" t="shared" si="5" ref="C101:K101">SUM(C102:C109)</f>
        <v>-28</v>
      </c>
      <c r="D101" s="158">
        <f t="shared" si="5"/>
        <v>491</v>
      </c>
      <c r="E101" s="158">
        <f t="shared" si="5"/>
        <v>3796</v>
      </c>
      <c r="F101" s="158">
        <f t="shared" si="5"/>
        <v>3305</v>
      </c>
      <c r="G101" s="158">
        <f t="shared" si="5"/>
        <v>-519</v>
      </c>
      <c r="H101" s="158">
        <f t="shared" si="5"/>
        <v>20931</v>
      </c>
      <c r="I101" s="158">
        <f t="shared" si="5"/>
        <v>21450</v>
      </c>
      <c r="J101" s="158">
        <f t="shared" si="5"/>
        <v>2462</v>
      </c>
      <c r="K101" s="158">
        <f t="shared" si="5"/>
        <v>1101</v>
      </c>
      <c r="L101" s="160"/>
    </row>
    <row r="102" spans="1:11" ht="16.5" customHeight="1" hidden="1">
      <c r="A102" s="99"/>
      <c r="B102" s="112" t="s">
        <v>643</v>
      </c>
      <c r="C102" s="815">
        <v>-215</v>
      </c>
      <c r="D102" s="885">
        <v>22</v>
      </c>
      <c r="E102" s="885">
        <v>924</v>
      </c>
      <c r="F102" s="885">
        <v>902</v>
      </c>
      <c r="G102" s="885">
        <v>-237</v>
      </c>
      <c r="H102" s="885">
        <v>5189</v>
      </c>
      <c r="I102" s="885">
        <v>5426</v>
      </c>
      <c r="J102" s="885">
        <v>639</v>
      </c>
      <c r="K102" s="885">
        <v>266</v>
      </c>
    </row>
    <row r="103" spans="1:11" ht="16.5" customHeight="1" hidden="1">
      <c r="A103" s="99"/>
      <c r="B103" s="122" t="s">
        <v>1333</v>
      </c>
      <c r="C103" s="815"/>
      <c r="D103" s="885"/>
      <c r="E103" s="885"/>
      <c r="F103" s="885"/>
      <c r="G103" s="885"/>
      <c r="H103" s="885"/>
      <c r="I103" s="885"/>
      <c r="J103" s="885"/>
      <c r="K103" s="885"/>
    </row>
    <row r="104" spans="1:11" ht="16.5" customHeight="1" hidden="1">
      <c r="A104" s="99"/>
      <c r="B104" s="112" t="s">
        <v>644</v>
      </c>
      <c r="C104" s="815">
        <v>-78</v>
      </c>
      <c r="D104" s="885">
        <v>134</v>
      </c>
      <c r="E104" s="885">
        <v>876</v>
      </c>
      <c r="F104" s="885">
        <v>742</v>
      </c>
      <c r="G104" s="885">
        <v>-212</v>
      </c>
      <c r="H104" s="885">
        <v>5363</v>
      </c>
      <c r="I104" s="885">
        <v>5575</v>
      </c>
      <c r="J104" s="885">
        <v>659</v>
      </c>
      <c r="K104" s="885">
        <v>264</v>
      </c>
    </row>
    <row r="105" spans="1:11" ht="16.5" customHeight="1" hidden="1">
      <c r="A105" s="99"/>
      <c r="B105" s="122" t="s">
        <v>1334</v>
      </c>
      <c r="C105" s="815"/>
      <c r="D105" s="885"/>
      <c r="E105" s="885"/>
      <c r="F105" s="885"/>
      <c r="G105" s="885"/>
      <c r="H105" s="885"/>
      <c r="I105" s="885"/>
      <c r="J105" s="885"/>
      <c r="K105" s="885"/>
    </row>
    <row r="106" spans="1:12" ht="16.5" customHeight="1" hidden="1">
      <c r="A106" s="99"/>
      <c r="B106" s="112" t="s">
        <v>645</v>
      </c>
      <c r="C106" s="815">
        <v>60</v>
      </c>
      <c r="D106" s="885">
        <v>160</v>
      </c>
      <c r="E106" s="885">
        <v>912</v>
      </c>
      <c r="F106" s="885">
        <v>752</v>
      </c>
      <c r="G106" s="885">
        <v>-100</v>
      </c>
      <c r="H106" s="885">
        <v>5810</v>
      </c>
      <c r="I106" s="885">
        <v>5910</v>
      </c>
      <c r="J106" s="885">
        <v>463</v>
      </c>
      <c r="K106" s="885">
        <v>296</v>
      </c>
      <c r="L106" s="99"/>
    </row>
    <row r="107" spans="1:12" ht="16.5" customHeight="1" hidden="1">
      <c r="A107" s="99"/>
      <c r="B107" s="122" t="s">
        <v>1335</v>
      </c>
      <c r="C107" s="815"/>
      <c r="D107" s="885"/>
      <c r="E107" s="885"/>
      <c r="F107" s="885"/>
      <c r="G107" s="885"/>
      <c r="H107" s="885"/>
      <c r="I107" s="885"/>
      <c r="J107" s="885"/>
      <c r="K107" s="885"/>
      <c r="L107" s="99"/>
    </row>
    <row r="108" spans="1:12" ht="16.5" customHeight="1" hidden="1">
      <c r="A108" s="99"/>
      <c r="B108" s="112" t="s">
        <v>646</v>
      </c>
      <c r="C108" s="815">
        <v>205</v>
      </c>
      <c r="D108" s="885">
        <v>175</v>
      </c>
      <c r="E108" s="885">
        <v>1084</v>
      </c>
      <c r="F108" s="885">
        <v>909</v>
      </c>
      <c r="G108" s="885">
        <v>30</v>
      </c>
      <c r="H108" s="885">
        <v>4569</v>
      </c>
      <c r="I108" s="885">
        <v>4539</v>
      </c>
      <c r="J108" s="885">
        <v>701</v>
      </c>
      <c r="K108" s="885">
        <v>275</v>
      </c>
      <c r="L108" s="99"/>
    </row>
    <row r="109" spans="1:12" ht="16.5" customHeight="1" hidden="1">
      <c r="A109" s="99"/>
      <c r="B109" s="122" t="s">
        <v>1336</v>
      </c>
      <c r="C109" s="815"/>
      <c r="D109" s="885"/>
      <c r="E109" s="885"/>
      <c r="F109" s="885"/>
      <c r="G109" s="885"/>
      <c r="H109" s="885"/>
      <c r="I109" s="885"/>
      <c r="J109" s="885"/>
      <c r="K109" s="885"/>
      <c r="L109" s="99"/>
    </row>
    <row r="110" spans="1:12" ht="30" customHeight="1">
      <c r="A110" s="99"/>
      <c r="B110" s="112" t="s">
        <v>650</v>
      </c>
      <c r="C110" s="176">
        <f aca="true" t="shared" si="6" ref="C110:K110">SUM(C111:C117)</f>
        <v>504</v>
      </c>
      <c r="D110" s="158">
        <f t="shared" si="6"/>
        <v>242</v>
      </c>
      <c r="E110" s="158">
        <f t="shared" si="6"/>
        <v>3683</v>
      </c>
      <c r="F110" s="158">
        <f t="shared" si="6"/>
        <v>3441</v>
      </c>
      <c r="G110" s="158">
        <f t="shared" si="6"/>
        <v>262</v>
      </c>
      <c r="H110" s="158">
        <f t="shared" si="6"/>
        <v>22759</v>
      </c>
      <c r="I110" s="158">
        <f t="shared" si="6"/>
        <v>22497</v>
      </c>
      <c r="J110" s="158">
        <f t="shared" si="6"/>
        <v>2817</v>
      </c>
      <c r="K110" s="158">
        <f t="shared" si="6"/>
        <v>1029</v>
      </c>
      <c r="L110" s="99"/>
    </row>
    <row r="111" spans="1:12" ht="16.5" customHeight="1" hidden="1">
      <c r="A111" s="99"/>
      <c r="B111" s="112" t="s">
        <v>643</v>
      </c>
      <c r="C111" s="176">
        <v>258</v>
      </c>
      <c r="D111" s="158">
        <v>-11</v>
      </c>
      <c r="E111" s="158">
        <v>950</v>
      </c>
      <c r="F111" s="158">
        <v>961</v>
      </c>
      <c r="G111" s="158">
        <v>269</v>
      </c>
      <c r="H111" s="158">
        <v>5169</v>
      </c>
      <c r="I111" s="158">
        <v>4900</v>
      </c>
      <c r="J111" s="158">
        <v>703</v>
      </c>
      <c r="K111" s="158">
        <v>255</v>
      </c>
      <c r="L111" s="99"/>
    </row>
    <row r="112" spans="1:12" ht="16.5" customHeight="1" hidden="1">
      <c r="A112" s="99"/>
      <c r="B112" s="122" t="s">
        <v>1333</v>
      </c>
      <c r="C112" s="176"/>
      <c r="D112" s="158"/>
      <c r="E112" s="158"/>
      <c r="F112" s="158"/>
      <c r="G112" s="158"/>
      <c r="H112" s="158"/>
      <c r="I112" s="158"/>
      <c r="J112" s="158"/>
      <c r="K112" s="158"/>
      <c r="L112" s="99"/>
    </row>
    <row r="113" spans="1:12" ht="16.5" customHeight="1" hidden="1">
      <c r="A113" s="99"/>
      <c r="B113" s="112" t="s">
        <v>644</v>
      </c>
      <c r="C113" s="176">
        <v>426</v>
      </c>
      <c r="D113" s="158">
        <v>19</v>
      </c>
      <c r="E113" s="158">
        <v>832</v>
      </c>
      <c r="F113" s="158">
        <v>813</v>
      </c>
      <c r="G113" s="158">
        <v>407</v>
      </c>
      <c r="H113" s="158">
        <v>6322</v>
      </c>
      <c r="I113" s="158">
        <v>5915</v>
      </c>
      <c r="J113" s="158">
        <v>697</v>
      </c>
      <c r="K113" s="158">
        <v>242</v>
      </c>
      <c r="L113" s="99"/>
    </row>
    <row r="114" spans="1:12" ht="16.5" customHeight="1" hidden="1">
      <c r="A114" s="99"/>
      <c r="B114" s="122" t="s">
        <v>1334</v>
      </c>
      <c r="C114" s="176"/>
      <c r="D114" s="158"/>
      <c r="E114" s="158"/>
      <c r="F114" s="158"/>
      <c r="G114" s="158"/>
      <c r="H114" s="158"/>
      <c r="I114" s="158"/>
      <c r="J114" s="158"/>
      <c r="K114" s="158"/>
      <c r="L114" s="99"/>
    </row>
    <row r="115" spans="1:12" ht="15" customHeight="1" hidden="1">
      <c r="A115" s="99"/>
      <c r="B115" s="112" t="s">
        <v>645</v>
      </c>
      <c r="C115" s="815">
        <v>12</v>
      </c>
      <c r="D115" s="885">
        <v>75</v>
      </c>
      <c r="E115" s="885">
        <v>863</v>
      </c>
      <c r="F115" s="885">
        <v>788</v>
      </c>
      <c r="G115" s="885">
        <v>-63</v>
      </c>
      <c r="H115" s="885">
        <v>6114</v>
      </c>
      <c r="I115" s="885">
        <v>6177</v>
      </c>
      <c r="J115" s="885">
        <v>452</v>
      </c>
      <c r="K115" s="885">
        <v>272</v>
      </c>
      <c r="L115" s="99"/>
    </row>
    <row r="116" spans="1:12" ht="15" customHeight="1" hidden="1">
      <c r="A116" s="99"/>
      <c r="B116" s="122" t="s">
        <v>1335</v>
      </c>
      <c r="C116" s="815"/>
      <c r="D116" s="885"/>
      <c r="E116" s="885"/>
      <c r="F116" s="885"/>
      <c r="G116" s="885"/>
      <c r="H116" s="885"/>
      <c r="I116" s="885"/>
      <c r="J116" s="885"/>
      <c r="K116" s="885"/>
      <c r="L116" s="99"/>
    </row>
    <row r="117" spans="1:12" ht="15" customHeight="1" hidden="1">
      <c r="A117" s="99"/>
      <c r="B117" s="112" t="s">
        <v>646</v>
      </c>
      <c r="C117" s="815">
        <v>-192</v>
      </c>
      <c r="D117" s="885">
        <v>159</v>
      </c>
      <c r="E117" s="885">
        <v>1038</v>
      </c>
      <c r="F117" s="885">
        <v>879</v>
      </c>
      <c r="G117" s="885">
        <v>-351</v>
      </c>
      <c r="H117" s="885">
        <v>5154</v>
      </c>
      <c r="I117" s="885">
        <v>5505</v>
      </c>
      <c r="J117" s="885">
        <v>965</v>
      </c>
      <c r="K117" s="885">
        <v>260</v>
      </c>
      <c r="L117" s="99"/>
    </row>
    <row r="118" spans="1:12" ht="15" customHeight="1" hidden="1">
      <c r="A118" s="99"/>
      <c r="B118" s="122" t="s">
        <v>1336</v>
      </c>
      <c r="C118" s="815"/>
      <c r="D118" s="885"/>
      <c r="E118" s="885"/>
      <c r="F118" s="885"/>
      <c r="G118" s="885"/>
      <c r="H118" s="885"/>
      <c r="I118" s="885"/>
      <c r="J118" s="885"/>
      <c r="K118" s="885"/>
      <c r="L118" s="99"/>
    </row>
    <row r="119" spans="1:12" ht="30" customHeight="1">
      <c r="A119" s="99"/>
      <c r="B119" s="112" t="s">
        <v>651</v>
      </c>
      <c r="C119" s="176">
        <f aca="true" t="shared" si="7" ref="C119:K119">SUM(C120:C127)</f>
        <v>723</v>
      </c>
      <c r="D119" s="158">
        <f t="shared" si="7"/>
        <v>336</v>
      </c>
      <c r="E119" s="158">
        <f t="shared" si="7"/>
        <v>3637</v>
      </c>
      <c r="F119" s="158">
        <f t="shared" si="7"/>
        <v>3301</v>
      </c>
      <c r="G119" s="158">
        <f t="shared" si="7"/>
        <v>387</v>
      </c>
      <c r="H119" s="158">
        <f t="shared" si="7"/>
        <v>26067</v>
      </c>
      <c r="I119" s="158">
        <f t="shared" si="7"/>
        <v>25680</v>
      </c>
      <c r="J119" s="158">
        <f t="shared" si="7"/>
        <v>2157</v>
      </c>
      <c r="K119" s="158">
        <f t="shared" si="7"/>
        <v>1039</v>
      </c>
      <c r="L119" s="99"/>
    </row>
    <row r="120" spans="1:12" ht="15" customHeight="1" hidden="1">
      <c r="A120" s="99"/>
      <c r="B120" s="112" t="s">
        <v>643</v>
      </c>
      <c r="C120" s="815">
        <v>6</v>
      </c>
      <c r="D120" s="885">
        <v>74</v>
      </c>
      <c r="E120" s="885">
        <v>931</v>
      </c>
      <c r="F120" s="885">
        <v>857</v>
      </c>
      <c r="G120" s="885">
        <v>-68</v>
      </c>
      <c r="H120" s="885">
        <v>5653</v>
      </c>
      <c r="I120" s="885">
        <v>5721</v>
      </c>
      <c r="J120" s="885">
        <v>620</v>
      </c>
      <c r="K120" s="885">
        <v>255</v>
      </c>
      <c r="L120" s="99"/>
    </row>
    <row r="121" spans="1:12" ht="15" customHeight="1" hidden="1">
      <c r="A121" s="99"/>
      <c r="B121" s="122" t="s">
        <v>1333</v>
      </c>
      <c r="C121" s="815"/>
      <c r="D121" s="885"/>
      <c r="E121" s="885"/>
      <c r="F121" s="885"/>
      <c r="G121" s="885"/>
      <c r="H121" s="885"/>
      <c r="I121" s="885"/>
      <c r="J121" s="885"/>
      <c r="K121" s="885"/>
      <c r="L121" s="99"/>
    </row>
    <row r="122" spans="1:12" ht="15" customHeight="1" hidden="1">
      <c r="A122" s="99"/>
      <c r="B122" s="112" t="s">
        <v>644</v>
      </c>
      <c r="C122" s="815">
        <v>553</v>
      </c>
      <c r="D122" s="885">
        <v>-49</v>
      </c>
      <c r="E122" s="885">
        <v>789</v>
      </c>
      <c r="F122" s="885">
        <v>838</v>
      </c>
      <c r="G122" s="885">
        <v>602</v>
      </c>
      <c r="H122" s="885">
        <v>7885</v>
      </c>
      <c r="I122" s="885">
        <v>7283</v>
      </c>
      <c r="J122" s="885">
        <v>499</v>
      </c>
      <c r="K122" s="885">
        <v>264</v>
      </c>
      <c r="L122" s="99"/>
    </row>
    <row r="123" spans="1:12" ht="15" customHeight="1" hidden="1">
      <c r="A123" s="99"/>
      <c r="B123" s="122" t="s">
        <v>1334</v>
      </c>
      <c r="C123" s="815"/>
      <c r="D123" s="885"/>
      <c r="E123" s="885"/>
      <c r="F123" s="885"/>
      <c r="G123" s="885"/>
      <c r="H123" s="885"/>
      <c r="I123" s="885"/>
      <c r="J123" s="885"/>
      <c r="K123" s="885"/>
      <c r="L123" s="99"/>
    </row>
    <row r="124" spans="1:12" ht="15" customHeight="1" hidden="1">
      <c r="A124" s="99"/>
      <c r="B124" s="112" t="s">
        <v>645</v>
      </c>
      <c r="C124" s="815">
        <v>-258</v>
      </c>
      <c r="D124" s="885">
        <v>137</v>
      </c>
      <c r="E124" s="885">
        <v>899</v>
      </c>
      <c r="F124" s="885">
        <v>762</v>
      </c>
      <c r="G124" s="885">
        <v>-395</v>
      </c>
      <c r="H124" s="885">
        <v>7416</v>
      </c>
      <c r="I124" s="885">
        <v>7811</v>
      </c>
      <c r="J124" s="885">
        <v>389</v>
      </c>
      <c r="K124" s="885">
        <v>261</v>
      </c>
      <c r="L124" s="99"/>
    </row>
    <row r="125" spans="1:12" ht="15" customHeight="1" hidden="1">
      <c r="A125" s="99"/>
      <c r="B125" s="122" t="s">
        <v>1335</v>
      </c>
      <c r="C125" s="815"/>
      <c r="D125" s="885"/>
      <c r="E125" s="885"/>
      <c r="F125" s="885"/>
      <c r="G125" s="885"/>
      <c r="H125" s="885"/>
      <c r="I125" s="885"/>
      <c r="J125" s="885"/>
      <c r="K125" s="885"/>
      <c r="L125" s="99"/>
    </row>
    <row r="126" spans="1:12" ht="15" customHeight="1">
      <c r="A126" s="99"/>
      <c r="B126" s="112" t="s">
        <v>646</v>
      </c>
      <c r="C126" s="815">
        <v>422</v>
      </c>
      <c r="D126" s="885">
        <v>174</v>
      </c>
      <c r="E126" s="885">
        <v>1018</v>
      </c>
      <c r="F126" s="885">
        <v>844</v>
      </c>
      <c r="G126" s="885">
        <v>248</v>
      </c>
      <c r="H126" s="885">
        <v>5113</v>
      </c>
      <c r="I126" s="885">
        <v>4865</v>
      </c>
      <c r="J126" s="885">
        <v>649</v>
      </c>
      <c r="K126" s="885">
        <v>259</v>
      </c>
      <c r="L126" s="99"/>
    </row>
    <row r="127" spans="1:12" ht="15" customHeight="1">
      <c r="A127" s="99"/>
      <c r="B127" s="122" t="s">
        <v>1336</v>
      </c>
      <c r="C127" s="815"/>
      <c r="D127" s="885"/>
      <c r="E127" s="885"/>
      <c r="F127" s="885"/>
      <c r="G127" s="885"/>
      <c r="H127" s="885"/>
      <c r="I127" s="885"/>
      <c r="J127" s="885"/>
      <c r="K127" s="885"/>
      <c r="L127" s="99"/>
    </row>
    <row r="128" spans="1:12" ht="30" customHeight="1">
      <c r="A128" s="99"/>
      <c r="B128" s="112" t="s">
        <v>720</v>
      </c>
      <c r="C128" s="176"/>
      <c r="D128" s="158"/>
      <c r="E128" s="158"/>
      <c r="F128" s="158"/>
      <c r="G128" s="158"/>
      <c r="H128" s="158"/>
      <c r="I128" s="158"/>
      <c r="J128" s="158"/>
      <c r="K128" s="158"/>
      <c r="L128" s="99"/>
    </row>
    <row r="129" spans="1:12" s="582" customFormat="1" ht="15" customHeight="1">
      <c r="A129" s="610"/>
      <c r="B129" s="580" t="s">
        <v>655</v>
      </c>
      <c r="C129" s="824">
        <v>158</v>
      </c>
      <c r="D129" s="830">
        <v>-13</v>
      </c>
      <c r="E129" s="830">
        <v>861</v>
      </c>
      <c r="F129" s="830">
        <v>874</v>
      </c>
      <c r="G129" s="830">
        <v>171</v>
      </c>
      <c r="H129" s="830">
        <v>5736</v>
      </c>
      <c r="I129" s="830">
        <v>5565</v>
      </c>
      <c r="J129" s="830">
        <v>615</v>
      </c>
      <c r="K129" s="830">
        <v>222</v>
      </c>
      <c r="L129" s="610"/>
    </row>
    <row r="130" spans="1:12" s="582" customFormat="1" ht="15" customHeight="1">
      <c r="A130" s="610"/>
      <c r="B130" s="583" t="s">
        <v>1333</v>
      </c>
      <c r="C130" s="824"/>
      <c r="D130" s="830"/>
      <c r="E130" s="830"/>
      <c r="F130" s="830"/>
      <c r="G130" s="830"/>
      <c r="H130" s="830"/>
      <c r="I130" s="830"/>
      <c r="J130" s="830"/>
      <c r="K130" s="830"/>
      <c r="L130" s="610"/>
    </row>
    <row r="131" spans="1:12" s="225" customFormat="1" ht="15" customHeight="1">
      <c r="A131" s="670"/>
      <c r="B131" s="666" t="s">
        <v>644</v>
      </c>
      <c r="C131" s="803">
        <v>-1179</v>
      </c>
      <c r="D131" s="894">
        <v>-32</v>
      </c>
      <c r="E131" s="894">
        <v>795</v>
      </c>
      <c r="F131" s="894">
        <v>827</v>
      </c>
      <c r="G131" s="894">
        <v>-1147</v>
      </c>
      <c r="H131" s="894">
        <v>4915</v>
      </c>
      <c r="I131" s="894">
        <v>6062</v>
      </c>
      <c r="J131" s="894">
        <v>672</v>
      </c>
      <c r="K131" s="894">
        <v>274</v>
      </c>
      <c r="L131" s="670"/>
    </row>
    <row r="132" spans="1:12" s="225" customFormat="1" ht="15" customHeight="1">
      <c r="A132" s="670"/>
      <c r="B132" s="667" t="s">
        <v>1334</v>
      </c>
      <c r="C132" s="803"/>
      <c r="D132" s="894"/>
      <c r="E132" s="894"/>
      <c r="F132" s="894"/>
      <c r="G132" s="894"/>
      <c r="H132" s="894"/>
      <c r="I132" s="894"/>
      <c r="J132" s="894"/>
      <c r="K132" s="894"/>
      <c r="L132" s="670"/>
    </row>
    <row r="133" spans="1:12" s="225" customFormat="1" ht="15" customHeight="1">
      <c r="A133" s="670"/>
      <c r="B133" s="112" t="s">
        <v>645</v>
      </c>
      <c r="C133" s="824">
        <v>75</v>
      </c>
      <c r="D133" s="830">
        <v>63</v>
      </c>
      <c r="E133" s="830">
        <v>874</v>
      </c>
      <c r="F133" s="830">
        <v>811</v>
      </c>
      <c r="G133" s="830">
        <v>12</v>
      </c>
      <c r="H133" s="830">
        <v>6447</v>
      </c>
      <c r="I133" s="830">
        <v>6435</v>
      </c>
      <c r="J133" s="830">
        <v>586</v>
      </c>
      <c r="K133" s="838">
        <v>303</v>
      </c>
      <c r="L133" s="670"/>
    </row>
    <row r="134" spans="1:12" s="225" customFormat="1" ht="15" customHeight="1">
      <c r="A134" s="670"/>
      <c r="B134" s="122" t="s">
        <v>1335</v>
      </c>
      <c r="C134" s="824"/>
      <c r="D134" s="830"/>
      <c r="E134" s="830"/>
      <c r="F134" s="830"/>
      <c r="G134" s="830"/>
      <c r="H134" s="830"/>
      <c r="I134" s="830"/>
      <c r="J134" s="830"/>
      <c r="K134" s="838"/>
      <c r="L134" s="670"/>
    </row>
    <row r="135" spans="1:12" s="225" customFormat="1" ht="15" customHeight="1">
      <c r="A135" s="670"/>
      <c r="B135" s="112" t="s">
        <v>646</v>
      </c>
      <c r="C135" s="803">
        <v>-193</v>
      </c>
      <c r="D135" s="894">
        <v>62</v>
      </c>
      <c r="E135" s="894">
        <v>918</v>
      </c>
      <c r="F135" s="894">
        <v>856</v>
      </c>
      <c r="G135" s="894">
        <v>-255</v>
      </c>
      <c r="H135" s="894">
        <v>4477</v>
      </c>
      <c r="I135" s="894">
        <v>4732</v>
      </c>
      <c r="J135" s="894">
        <v>691</v>
      </c>
      <c r="K135" s="806">
        <v>292</v>
      </c>
      <c r="L135" s="670"/>
    </row>
    <row r="136" spans="1:12" s="225" customFormat="1" ht="15" customHeight="1" thickBot="1">
      <c r="A136" s="670"/>
      <c r="B136" s="122" t="s">
        <v>1336</v>
      </c>
      <c r="C136" s="805"/>
      <c r="D136" s="832"/>
      <c r="E136" s="832"/>
      <c r="F136" s="832"/>
      <c r="G136" s="832"/>
      <c r="H136" s="832"/>
      <c r="I136" s="832"/>
      <c r="J136" s="832"/>
      <c r="K136" s="835"/>
      <c r="L136" s="670"/>
    </row>
    <row r="137" spans="2:11" ht="21.75" customHeight="1">
      <c r="B137" s="611" t="s">
        <v>722</v>
      </c>
      <c r="D137" s="612"/>
      <c r="E137" s="612"/>
      <c r="F137" s="612"/>
      <c r="G137" s="612"/>
      <c r="H137" s="612"/>
      <c r="I137" s="612"/>
      <c r="J137" s="612"/>
      <c r="K137" s="612"/>
    </row>
    <row r="138" ht="21.75" customHeight="1">
      <c r="B138" s="114"/>
    </row>
    <row r="139" ht="21.75" customHeight="1">
      <c r="B139" s="114"/>
    </row>
    <row r="140" ht="21.75" customHeight="1">
      <c r="B140" s="114"/>
    </row>
    <row r="141" spans="1:12" ht="90" customHeight="1">
      <c r="A141" s="899" t="s">
        <v>723</v>
      </c>
      <c r="B141" s="899"/>
      <c r="C141" s="899"/>
      <c r="D141" s="899"/>
      <c r="E141" s="899"/>
      <c r="F141" s="899"/>
      <c r="G141" s="899"/>
      <c r="H141" s="899"/>
      <c r="I141" s="899"/>
      <c r="J141" s="899"/>
      <c r="K141" s="899"/>
      <c r="L141" s="899"/>
    </row>
    <row r="142" spans="2:11" ht="24.75" customHeight="1">
      <c r="B142" s="104" t="s">
        <v>724</v>
      </c>
      <c r="C142" s="144"/>
      <c r="D142" s="144"/>
      <c r="E142" s="144"/>
      <c r="F142" s="144"/>
      <c r="G142" s="144"/>
      <c r="H142" s="144"/>
      <c r="I142" s="144"/>
      <c r="J142" s="144"/>
      <c r="K142" s="124" t="s">
        <v>725</v>
      </c>
    </row>
    <row r="143" spans="3:11" ht="24.75" customHeight="1" thickBot="1">
      <c r="C143" s="145" t="s">
        <v>726</v>
      </c>
      <c r="D143" s="144"/>
      <c r="E143" s="144"/>
      <c r="F143" s="144"/>
      <c r="G143" s="144"/>
      <c r="H143" s="144"/>
      <c r="I143" s="144"/>
      <c r="J143" s="144"/>
      <c r="K143" s="191" t="s">
        <v>727</v>
      </c>
    </row>
    <row r="144" spans="2:11" ht="37.5" customHeight="1">
      <c r="B144" s="860" t="s">
        <v>682</v>
      </c>
      <c r="C144" s="809" t="s">
        <v>728</v>
      </c>
      <c r="D144" s="856" t="s">
        <v>684</v>
      </c>
      <c r="E144" s="857"/>
      <c r="F144" s="858"/>
      <c r="G144" s="856" t="s">
        <v>685</v>
      </c>
      <c r="H144" s="857"/>
      <c r="I144" s="858"/>
      <c r="J144" s="138" t="s">
        <v>686</v>
      </c>
      <c r="K144" s="106" t="s">
        <v>687</v>
      </c>
    </row>
    <row r="145" spans="2:11" ht="37.5" customHeight="1">
      <c r="B145" s="861"/>
      <c r="C145" s="810"/>
      <c r="D145" s="811" t="s">
        <v>688</v>
      </c>
      <c r="E145" s="812"/>
      <c r="F145" s="813"/>
      <c r="G145" s="811" t="s">
        <v>689</v>
      </c>
      <c r="H145" s="812"/>
      <c r="I145" s="813"/>
      <c r="J145" s="108" t="s">
        <v>729</v>
      </c>
      <c r="K145" s="187" t="s">
        <v>729</v>
      </c>
    </row>
    <row r="146" spans="2:11" ht="19.5" customHeight="1">
      <c r="B146" s="874" t="s">
        <v>730</v>
      </c>
      <c r="C146" s="821" t="s">
        <v>1337</v>
      </c>
      <c r="D146" s="851" t="s">
        <v>731</v>
      </c>
      <c r="E146" s="851" t="s">
        <v>732</v>
      </c>
      <c r="F146" s="851" t="s">
        <v>733</v>
      </c>
      <c r="G146" s="851" t="s">
        <v>731</v>
      </c>
      <c r="H146" s="851" t="s">
        <v>734</v>
      </c>
      <c r="I146" s="851" t="s">
        <v>735</v>
      </c>
      <c r="J146" s="865" t="s">
        <v>736</v>
      </c>
      <c r="K146" s="795" t="s">
        <v>737</v>
      </c>
    </row>
    <row r="147" spans="2:12" ht="19.5" customHeight="1">
      <c r="B147" s="874"/>
      <c r="C147" s="821"/>
      <c r="D147" s="868"/>
      <c r="E147" s="868"/>
      <c r="F147" s="868"/>
      <c r="G147" s="868"/>
      <c r="H147" s="868"/>
      <c r="I147" s="868"/>
      <c r="J147" s="865"/>
      <c r="K147" s="801"/>
      <c r="L147" s="170"/>
    </row>
    <row r="148" spans="2:12" ht="19.5" customHeight="1">
      <c r="B148" s="874"/>
      <c r="C148" s="821"/>
      <c r="D148" s="865" t="s">
        <v>1343</v>
      </c>
      <c r="E148" s="865" t="s">
        <v>738</v>
      </c>
      <c r="F148" s="865" t="s">
        <v>739</v>
      </c>
      <c r="G148" s="865" t="s">
        <v>1343</v>
      </c>
      <c r="H148" s="865" t="s">
        <v>740</v>
      </c>
      <c r="I148" s="865" t="s">
        <v>741</v>
      </c>
      <c r="J148" s="865"/>
      <c r="K148" s="801"/>
      <c r="L148" s="170"/>
    </row>
    <row r="149" spans="2:12" ht="19.5" customHeight="1" thickBot="1">
      <c r="B149" s="875"/>
      <c r="C149" s="822"/>
      <c r="D149" s="855"/>
      <c r="E149" s="855"/>
      <c r="F149" s="855"/>
      <c r="G149" s="855"/>
      <c r="H149" s="855"/>
      <c r="I149" s="855"/>
      <c r="J149" s="855"/>
      <c r="K149" s="802"/>
      <c r="L149" s="170"/>
    </row>
    <row r="150" spans="2:11" ht="28.5" customHeight="1" hidden="1">
      <c r="B150" s="115" t="s">
        <v>742</v>
      </c>
      <c r="C150" s="141">
        <f>D150+G150</f>
        <v>3.991938442151417</v>
      </c>
      <c r="D150" s="141">
        <f>D52/'[22]參考'!M3*1000</f>
        <v>10.234467043850904</v>
      </c>
      <c r="E150" s="141">
        <f>E52/'[22]參考'!M3*1000</f>
        <v>16.884820708018832</v>
      </c>
      <c r="F150" s="141">
        <f>F52/'[22]參考'!M3*1000</f>
        <v>6.6503536641679295</v>
      </c>
      <c r="G150" s="141">
        <f>G52/'[22]參考'!M3*1000</f>
        <v>-6.242528601699487</v>
      </c>
      <c r="H150" s="141">
        <f>H52/'[22]參考'!M3*1000</f>
        <v>59.97617783762089</v>
      </c>
      <c r="I150" s="141">
        <f>I52/'[22]參考'!M3*1000</f>
        <v>66.21870643932037</v>
      </c>
      <c r="J150" s="141">
        <f>J52/'[22]參考'!M3*1000</f>
        <v>8.59237777116051</v>
      </c>
      <c r="K150" s="183">
        <f>K52/'[22]參考'!M3*1000</f>
        <v>1.3702058977114324</v>
      </c>
    </row>
    <row r="151" spans="2:11" ht="26.25" customHeight="1" hidden="1">
      <c r="B151" s="112" t="s">
        <v>701</v>
      </c>
      <c r="C151" s="141">
        <f>D151+G151</f>
        <v>1.4719141985922128</v>
      </c>
      <c r="D151" s="141">
        <f>D53/'[22]參考'!M4*1000</f>
        <v>10.012890008844398</v>
      </c>
      <c r="E151" s="141">
        <f>E53/'[22]參考'!M4*1000</f>
        <v>16.70321346414146</v>
      </c>
      <c r="F151" s="141">
        <f>F53/'[22]參考'!M4*1000</f>
        <v>6.690323455297062</v>
      </c>
      <c r="G151" s="141">
        <f>G53/'[22]參考'!M4*1000</f>
        <v>-8.540975810252185</v>
      </c>
      <c r="H151" s="141">
        <f>H53/'[22]參考'!M4*1000</f>
        <v>57.796303429517046</v>
      </c>
      <c r="I151" s="141">
        <f>I53/'[22]參考'!M4*1000</f>
        <v>66.33727923976923</v>
      </c>
      <c r="J151" s="141">
        <f>J53/'[22]參考'!M4*1000</f>
        <v>8.054641586740722</v>
      </c>
      <c r="K151" s="183">
        <f>K53/'[22]參考'!M4*1000</f>
        <v>1.2803931990677877</v>
      </c>
    </row>
    <row r="152" spans="2:11" ht="33" customHeight="1" hidden="1">
      <c r="B152" s="112" t="s">
        <v>626</v>
      </c>
      <c r="C152" s="141">
        <f>D152+G152</f>
        <v>0.16556220193428395</v>
      </c>
      <c r="D152" s="141">
        <f>D54/'[22]參考'!M5*1000</f>
        <v>9.452096619520859</v>
      </c>
      <c r="E152" s="141">
        <f>E54/'[22]參考'!M5*1000</f>
        <v>16.149840243225924</v>
      </c>
      <c r="F152" s="141">
        <f>F54/'[22]參考'!M5*1000</f>
        <v>6.697743623705066</v>
      </c>
      <c r="G152" s="141">
        <f>G54/'[22]參考'!M5*1000</f>
        <v>-9.286534417586575</v>
      </c>
      <c r="H152" s="141">
        <f>H54/'[22]參考'!M5*1000</f>
        <v>56.81578732352574</v>
      </c>
      <c r="I152" s="141">
        <f>I54/'[22]參考'!M5*1000</f>
        <v>66.10232174111232</v>
      </c>
      <c r="J152" s="141">
        <f>J54/'[22]參考'!M5*1000</f>
        <v>8.213605342713757</v>
      </c>
      <c r="K152" s="183">
        <f>K54/'[22]參考'!M5*1000</f>
        <v>1.494360134341901</v>
      </c>
    </row>
    <row r="153" spans="2:11" ht="15" customHeight="1" hidden="1">
      <c r="B153" s="122"/>
      <c r="C153" s="141"/>
      <c r="D153" s="141"/>
      <c r="E153" s="141"/>
      <c r="F153" s="141"/>
      <c r="G153" s="141"/>
      <c r="H153" s="141"/>
      <c r="I153" s="141"/>
      <c r="J153" s="141"/>
      <c r="K153" s="183"/>
    </row>
    <row r="154" spans="2:11" ht="24.75" customHeight="1" hidden="1">
      <c r="B154" s="112" t="s">
        <v>627</v>
      </c>
      <c r="C154" s="141">
        <f aca="true" t="shared" si="8" ref="C154:C163">D154+G154</f>
        <v>3.1833461411319224</v>
      </c>
      <c r="D154" s="141">
        <f>D56/'[22]參考'!M6*1000</f>
        <v>9.356848165336515</v>
      </c>
      <c r="E154" s="141">
        <f>E56/'[22]參考'!M6*1000</f>
        <v>16.036937977340926</v>
      </c>
      <c r="F154" s="141">
        <f>F56/'[22]參考'!M6*1000</f>
        <v>6.680089812004414</v>
      </c>
      <c r="G154" s="141">
        <f>G56/'[22]參考'!M6*1000</f>
        <v>-6.173502024204593</v>
      </c>
      <c r="H154" s="141">
        <f>H56/'[22]參考'!M6*1000</f>
        <v>67.44701220533119</v>
      </c>
      <c r="I154" s="141">
        <f>I56/'[22]參考'!M6*1000</f>
        <v>73.62051422953579</v>
      </c>
      <c r="J154" s="141">
        <f>J56/'[22]參考'!M6*1000</f>
        <v>7.53442006431089</v>
      </c>
      <c r="K154" s="183">
        <f>K56/'[22]參考'!M6*1000</f>
        <v>1.3780905074893424</v>
      </c>
    </row>
    <row r="155" spans="2:11" ht="24.75" customHeight="1" hidden="1">
      <c r="B155" s="112" t="s">
        <v>628</v>
      </c>
      <c r="C155" s="141">
        <f t="shared" si="8"/>
        <v>-2.0939038649260384</v>
      </c>
      <c r="D155" s="183">
        <f>D57/'[22]參考'!M7*1000</f>
        <v>6.170151142958283</v>
      </c>
      <c r="E155" s="141">
        <f>E57/'[22]參考'!M7*1000</f>
        <v>12.855196678931165</v>
      </c>
      <c r="F155" s="141">
        <f>F57/'[22]參考'!M7*1000</f>
        <v>6.685045535972882</v>
      </c>
      <c r="G155" s="141">
        <f>G57/'[22]參考'!M7*1000</f>
        <v>-8.264055007884322</v>
      </c>
      <c r="H155" s="141">
        <f>H57/'[22]參考'!M7*1000</f>
        <v>61.90746918678867</v>
      </c>
      <c r="I155" s="141">
        <f>I57/'[22]參考'!M7*1000</f>
        <v>70.17152419467298</v>
      </c>
      <c r="J155" s="141">
        <f>J57/'[22]參考'!M7*1000</f>
        <v>6.502687105113544</v>
      </c>
      <c r="K155" s="183">
        <f>K57/'[22]參考'!M7*1000</f>
        <v>1.733477789815818</v>
      </c>
    </row>
    <row r="156" spans="2:12" ht="30" customHeight="1" hidden="1">
      <c r="B156" s="112" t="s">
        <v>629</v>
      </c>
      <c r="C156" s="613">
        <f t="shared" si="8"/>
        <v>-1.3388750870376258</v>
      </c>
      <c r="D156" s="613">
        <f>D58/'表2人口動態'!R9*1000</f>
        <v>5.993776272468602</v>
      </c>
      <c r="E156" s="613">
        <f>E58/'表2人口動態'!R9*1000</f>
        <v>12.789158335410773</v>
      </c>
      <c r="F156" s="613">
        <f>F58/'表2人口動態'!R9*1000</f>
        <v>6.795382062942172</v>
      </c>
      <c r="G156" s="613">
        <f>G58/'表2人口動態'!R9*1000</f>
        <v>-7.332651359506228</v>
      </c>
      <c r="H156" s="613">
        <f>H58/'表2人口動態'!R9*1000</f>
        <v>51.97543174960672</v>
      </c>
      <c r="I156" s="613">
        <f>I58/'表2人口動態'!R9*1000</f>
        <v>59.30808310911294</v>
      </c>
      <c r="J156" s="613">
        <f>J58/'表2人口動態'!R9*1000</f>
        <v>7.577646158739437</v>
      </c>
      <c r="K156" s="613">
        <f>K58/'表2人口動態'!R9*1000</f>
        <v>1.970703779796955</v>
      </c>
      <c r="L156" s="614"/>
    </row>
    <row r="157" spans="2:12" ht="30" customHeight="1">
      <c r="B157" s="112" t="s">
        <v>630</v>
      </c>
      <c r="C157" s="613">
        <f t="shared" si="8"/>
        <v>0.39131790279405276</v>
      </c>
      <c r="D157" s="613">
        <f>D59/'表2人口動態'!R10*1000</f>
        <v>6.895365462969931</v>
      </c>
      <c r="E157" s="613">
        <f>E59/'表2人口動態'!R10*1000</f>
        <v>13.734828368397855</v>
      </c>
      <c r="F157" s="613">
        <f>F59/'表2人口動態'!R10*1000</f>
        <v>6.839462905427924</v>
      </c>
      <c r="G157" s="613">
        <f>G59/'表2人口動態'!R10*1000</f>
        <v>-6.504047560175878</v>
      </c>
      <c r="H157" s="613">
        <f>H59/'表2人口動態'!R10*1000</f>
        <v>52.152785989959035</v>
      </c>
      <c r="I157" s="613">
        <f>I59/'表2人口動態'!R10*1000</f>
        <v>58.65683355013491</v>
      </c>
      <c r="J157" s="613">
        <f>J59/'表2人口動態'!R10*1000</f>
        <v>7.837108547716057</v>
      </c>
      <c r="K157" s="613">
        <f>K59/'表2人口動態'!R10*1000</f>
        <v>2.0146421698792722</v>
      </c>
      <c r="L157" s="614"/>
    </row>
    <row r="158" spans="2:12" ht="30" customHeight="1">
      <c r="B158" s="112" t="s">
        <v>631</v>
      </c>
      <c r="C158" s="613">
        <f t="shared" si="8"/>
        <v>1.3168833902980275</v>
      </c>
      <c r="D158" s="613">
        <f>D60/'表2人口動態'!R11*1000</f>
        <v>5.001149319108987</v>
      </c>
      <c r="E158" s="613">
        <f>E60/'表2人口動態'!R11*1000</f>
        <v>11.787502712178272</v>
      </c>
      <c r="F158" s="613">
        <f>F60/'表2人口動態'!R11*1000</f>
        <v>6.786353393069284</v>
      </c>
      <c r="G158" s="613">
        <f>G60/'表2人口動態'!R11*1000</f>
        <v>-3.6842659288109596</v>
      </c>
      <c r="H158" s="613">
        <f>H60/'表2人口動態'!R11*1000</f>
        <v>59.4960611652592</v>
      </c>
      <c r="I158" s="613">
        <f>I60/'表2人口動態'!R11*1000</f>
        <v>63.180327094070165</v>
      </c>
      <c r="J158" s="613">
        <f>J60/'表2人口動態'!R11*1000</f>
        <v>7.211708876395564</v>
      </c>
      <c r="K158" s="613">
        <f>K60/'表2人口動態'!R11*1000</f>
        <v>2.2642660577065605</v>
      </c>
      <c r="L158" s="614"/>
    </row>
    <row r="159" spans="2:12" ht="30" customHeight="1">
      <c r="B159" s="112" t="s">
        <v>632</v>
      </c>
      <c r="C159" s="613">
        <f t="shared" si="8"/>
        <v>-3.639077498155728</v>
      </c>
      <c r="D159" s="613">
        <f>D61/'表2人口動態'!R12*1000</f>
        <v>3.8907158357941554</v>
      </c>
      <c r="E159" s="613">
        <f>E61/'表2人口動態'!R12*1000</f>
        <v>10.951644574827995</v>
      </c>
      <c r="F159" s="613">
        <f>F61/'表2人口動態'!R12*1000</f>
        <v>7.060928739033837</v>
      </c>
      <c r="G159" s="613">
        <f>G61/'表2人口動態'!R12*1000</f>
        <v>-7.5297933339498835</v>
      </c>
      <c r="H159" s="613">
        <f>H61/'表2人口動態'!R12*1000</f>
        <v>68.09075325893154</v>
      </c>
      <c r="I159" s="613">
        <f>I61/'表2人口動態'!R12*1000</f>
        <v>75.62054659288144</v>
      </c>
      <c r="J159" s="613">
        <f>J61/'表2人口動態'!R12*1000</f>
        <v>7.170617245183921</v>
      </c>
      <c r="K159" s="613">
        <f>K61/'表2人口動態'!R12*1000</f>
        <v>2.4647652558430635</v>
      </c>
      <c r="L159" s="614"/>
    </row>
    <row r="160" spans="2:12" ht="24.75" customHeight="1" hidden="1">
      <c r="B160" s="115" t="s">
        <v>638</v>
      </c>
      <c r="C160" s="613">
        <f t="shared" si="8"/>
        <v>0.4644552005005794</v>
      </c>
      <c r="D160" s="613">
        <f>D62/'[22]參考'!M12*1000</f>
        <v>0.76764123416068</v>
      </c>
      <c r="E160" s="613">
        <f>E62/'[22]參考'!M12*1000</f>
        <v>2.614710758373633</v>
      </c>
      <c r="F160" s="613">
        <f>F62/'[22]參考'!M12*1000</f>
        <v>1.847069524212953</v>
      </c>
      <c r="G160" s="613">
        <f>G62/'[22]參考'!M12*1000</f>
        <v>-0.30318603366010055</v>
      </c>
      <c r="H160" s="613">
        <f>H62/'[22]參考'!M12*1000</f>
        <v>23.362526636290724</v>
      </c>
      <c r="I160" s="613">
        <f>I62/'[22]參考'!M12*1000</f>
        <v>23.66571266995082</v>
      </c>
      <c r="J160" s="613">
        <f>J62/'[22]參考'!M12*1000</f>
        <v>1.8255669686342222</v>
      </c>
      <c r="K160" s="613">
        <f>K62/'[22]參考'!M12*1000</f>
        <v>0.5784187450678513</v>
      </c>
      <c r="L160" s="614"/>
    </row>
    <row r="161" spans="2:12" ht="24.75" customHeight="1" hidden="1">
      <c r="B161" s="115" t="s">
        <v>639</v>
      </c>
      <c r="C161" s="613">
        <f t="shared" si="8"/>
        <v>-1.8578857045897295</v>
      </c>
      <c r="D161" s="613">
        <f>D63/'[22]參考'!M13*1000</f>
        <v>0.9815650485520304</v>
      </c>
      <c r="E161" s="613">
        <f>E63/'[22]參考'!M13*1000</f>
        <v>2.6633274840361443</v>
      </c>
      <c r="F161" s="613">
        <f>F63/'[22]參考'!M13*1000</f>
        <v>1.6817624354841134</v>
      </c>
      <c r="G161" s="613">
        <f>G63/'[22]參考'!M13*1000</f>
        <v>-2.83945075314176</v>
      </c>
      <c r="H161" s="613">
        <f>H63/'[22]參考'!M13*1000</f>
        <v>14.77931969165541</v>
      </c>
      <c r="I161" s="613">
        <f>I63/'[22]參考'!M13*1000</f>
        <v>17.618770444797168</v>
      </c>
      <c r="J161" s="613">
        <f>J63/'[22]參考'!M13*1000</f>
        <v>1.7311628646234936</v>
      </c>
      <c r="K161" s="613">
        <f>K63/'[22]參考'!M13*1000</f>
        <v>0.5842137706917994</v>
      </c>
      <c r="L161" s="614"/>
    </row>
    <row r="162" spans="2:12" ht="24.75" customHeight="1" hidden="1">
      <c r="B162" s="115" t="s">
        <v>640</v>
      </c>
      <c r="C162" s="613">
        <f t="shared" si="8"/>
        <v>-1.49956325489133</v>
      </c>
      <c r="D162" s="613">
        <f>D64/'[22]參考'!M14*1000</f>
        <v>0.9229736532975331</v>
      </c>
      <c r="E162" s="613">
        <f>E64/'[22]參考'!M14*1000</f>
        <v>2.7452549687824064</v>
      </c>
      <c r="F162" s="613">
        <f>F64/'[22]參考'!M14*1000</f>
        <v>1.8222813154848732</v>
      </c>
      <c r="G162" s="613">
        <f>G64/'[22]參考'!M14*1000</f>
        <v>-2.4225369081888632</v>
      </c>
      <c r="H162" s="613">
        <f>H64/'[22]參考'!M14*1000</f>
        <v>17.835551482136477</v>
      </c>
      <c r="I162" s="613">
        <f>I64/'[22]參考'!M14*1000</f>
        <v>20.25808839032534</v>
      </c>
      <c r="J162" s="613">
        <f>J64/'[22]參考'!M14*1000</f>
        <v>1.4457769114590728</v>
      </c>
      <c r="K162" s="613">
        <f>K64/'[22]參考'!M14*1000</f>
        <v>0.6884651959328918</v>
      </c>
      <c r="L162" s="614"/>
    </row>
    <row r="163" spans="2:12" ht="24.75" customHeight="1" hidden="1">
      <c r="B163" s="112" t="s">
        <v>636</v>
      </c>
      <c r="C163" s="613" t="e">
        <f t="shared" si="8"/>
        <v>#REF!</v>
      </c>
      <c r="D163" s="613" t="e">
        <f>#REF!/'[22]參考'!M15*1000</f>
        <v>#REF!</v>
      </c>
      <c r="E163" s="613" t="e">
        <f>#REF!/'[22]參考'!M15*1000</f>
        <v>#REF!</v>
      </c>
      <c r="F163" s="613" t="e">
        <f>#REF!/'[22]參考'!M15*1000</f>
        <v>#REF!</v>
      </c>
      <c r="G163" s="613" t="e">
        <f>#REF!/'[22]參考'!M15*1000</f>
        <v>#REF!</v>
      </c>
      <c r="H163" s="613" t="e">
        <f>#REF!/'[22]參考'!M15*1000</f>
        <v>#REF!</v>
      </c>
      <c r="I163" s="613" t="e">
        <f>#REF!/'[22]參考'!M15*1000</f>
        <v>#REF!</v>
      </c>
      <c r="J163" s="613" t="e">
        <f>#REF!/'[22]參考'!M15*1000</f>
        <v>#REF!</v>
      </c>
      <c r="K163" s="613" t="e">
        <f>#REF!/'[22]參考'!M15*1000</f>
        <v>#REF!</v>
      </c>
      <c r="L163" s="614"/>
    </row>
    <row r="164" spans="2:12" ht="24.75" customHeight="1" hidden="1">
      <c r="B164" s="184"/>
      <c r="C164" s="572"/>
      <c r="D164" s="615"/>
      <c r="E164" s="615"/>
      <c r="F164" s="615"/>
      <c r="G164" s="615"/>
      <c r="H164" s="613"/>
      <c r="I164" s="613"/>
      <c r="J164" s="613"/>
      <c r="K164" s="613"/>
      <c r="L164" s="614"/>
    </row>
    <row r="165" spans="2:12" ht="30" customHeight="1">
      <c r="B165" s="112" t="s">
        <v>637</v>
      </c>
      <c r="C165" s="573">
        <f aca="true" t="shared" si="9" ref="C165:K165">SUM(C166:C172)</f>
        <v>-1.7727125549339504</v>
      </c>
      <c r="D165" s="573">
        <f t="shared" si="9"/>
        <v>3.4447352599360572</v>
      </c>
      <c r="E165" s="573">
        <f t="shared" si="9"/>
        <v>10.139339956123848</v>
      </c>
      <c r="F165" s="573">
        <f t="shared" si="9"/>
        <v>6.694604696187792</v>
      </c>
      <c r="G165" s="573">
        <f t="shared" si="9"/>
        <v>-5.217447814870008</v>
      </c>
      <c r="H165" s="573">
        <f t="shared" si="9"/>
        <v>51.91031726938938</v>
      </c>
      <c r="I165" s="573">
        <f t="shared" si="9"/>
        <v>57.12776508425939</v>
      </c>
      <c r="J165" s="573">
        <f t="shared" si="9"/>
        <v>6.981873149070793</v>
      </c>
      <c r="K165" s="573">
        <f t="shared" si="9"/>
        <v>2.4740085854049076</v>
      </c>
      <c r="L165" s="614"/>
    </row>
    <row r="166" spans="2:12" ht="24.75" customHeight="1" hidden="1">
      <c r="B166" s="112" t="s">
        <v>638</v>
      </c>
      <c r="C166" s="817">
        <f>D166+G166</f>
        <v>-0.3297193506468319</v>
      </c>
      <c r="D166" s="816">
        <f>D66/'表2人口動態'!R18*1000</f>
        <v>0.8383060614484807</v>
      </c>
      <c r="E166" s="816">
        <f>E66/'表2人口動態'!R18*1000</f>
        <v>2.570948923671048</v>
      </c>
      <c r="F166" s="816">
        <f>F66/'表2人口動態'!R18*1000</f>
        <v>1.732642862222567</v>
      </c>
      <c r="G166" s="816">
        <f>G66/'表2人口動態'!R18*1000</f>
        <v>-1.1680254120953126</v>
      </c>
      <c r="H166" s="816">
        <f>H66/'表2人口動態'!R18*1000</f>
        <v>12.734063025961627</v>
      </c>
      <c r="I166" s="816">
        <f>I66/'表2人口動態'!R18*1000</f>
        <v>13.90208843805694</v>
      </c>
      <c r="J166" s="816">
        <f>J66/'表2人口動態'!R18*1000</f>
        <v>1.6981624072529637</v>
      </c>
      <c r="K166" s="816">
        <f>K66/'表2人口動態'!R18*1000</f>
        <v>0.5344470520288516</v>
      </c>
      <c r="L166" s="614"/>
    </row>
    <row r="167" spans="2:12" ht="24.75" customHeight="1" hidden="1">
      <c r="B167" s="122" t="s">
        <v>1333</v>
      </c>
      <c r="C167" s="819"/>
      <c r="D167" s="818"/>
      <c r="E167" s="818"/>
      <c r="F167" s="818"/>
      <c r="G167" s="818"/>
      <c r="H167" s="818"/>
      <c r="I167" s="818"/>
      <c r="J167" s="818"/>
      <c r="K167" s="818"/>
      <c r="L167" s="614"/>
    </row>
    <row r="168" spans="2:12" ht="24.75" customHeight="1" hidden="1">
      <c r="B168" s="112" t="s">
        <v>639</v>
      </c>
      <c r="C168" s="817">
        <f>D168+G168</f>
        <v>-0.750355772133339</v>
      </c>
      <c r="D168" s="816">
        <f>D68/'表2人口動態'!R19*1000</f>
        <v>0.5843287765751003</v>
      </c>
      <c r="E168" s="816">
        <f>E68/'表2人口動態'!R19*1000</f>
        <v>2.3545646642804776</v>
      </c>
      <c r="F168" s="816">
        <f>F68/'表2人口動態'!R19*1000</f>
        <v>1.7702358877053774</v>
      </c>
      <c r="G168" s="816">
        <f>G68/'表2人口動態'!R19*1000</f>
        <v>-1.3346845487084393</v>
      </c>
      <c r="H168" s="816">
        <f>H68/'表2人口動態'!R19*1000</f>
        <v>12.853076889904697</v>
      </c>
      <c r="I168" s="816">
        <f>I68/'表2人口動態'!R19*1000</f>
        <v>14.187761438613135</v>
      </c>
      <c r="J168" s="816">
        <f>J68/'表2人口動態'!R19*1000</f>
        <v>1.70339385053258</v>
      </c>
      <c r="K168" s="816">
        <f>K68/'表2人口動態'!R19*1000</f>
        <v>0.590797360817629</v>
      </c>
      <c r="L168" s="614"/>
    </row>
    <row r="169" spans="2:12" ht="24.75" customHeight="1" hidden="1">
      <c r="B169" s="122" t="s">
        <v>1334</v>
      </c>
      <c r="C169" s="817"/>
      <c r="D169" s="816"/>
      <c r="E169" s="816"/>
      <c r="F169" s="816"/>
      <c r="G169" s="816"/>
      <c r="H169" s="816"/>
      <c r="I169" s="816"/>
      <c r="J169" s="816"/>
      <c r="K169" s="816"/>
      <c r="L169" s="614"/>
    </row>
    <row r="170" spans="2:12" ht="24.75" customHeight="1" hidden="1">
      <c r="B170" s="112" t="s">
        <v>640</v>
      </c>
      <c r="C170" s="817">
        <f>D170+G170</f>
        <v>-0.606301217349277</v>
      </c>
      <c r="D170" s="816">
        <f>D70/'表2人口動態'!R20*1000</f>
        <v>0.9364225207458583</v>
      </c>
      <c r="E170" s="816">
        <f>E70/'表2人口動態'!R20*1000</f>
        <v>2.535245303862635</v>
      </c>
      <c r="F170" s="816">
        <f>F70/'表2人口動態'!R20*1000</f>
        <v>1.5988227831167767</v>
      </c>
      <c r="G170" s="816">
        <f>G70/'表2人口動態'!R20*1000</f>
        <v>-1.5427237380951353</v>
      </c>
      <c r="H170" s="816">
        <f>H70/'表2人口動態'!R20*1000</f>
        <v>14.53612562733836</v>
      </c>
      <c r="I170" s="816">
        <f>I70/'表2人口動態'!R20*1000</f>
        <v>16.078849365433495</v>
      </c>
      <c r="J170" s="816">
        <f>J70/'表2人口動態'!R20*1000</f>
        <v>1.3744266030302115</v>
      </c>
      <c r="K170" s="816">
        <f>K70/'表2人口動態'!R20*1000</f>
        <v>0.6882921293039835</v>
      </c>
      <c r="L170" s="614"/>
    </row>
    <row r="171" spans="2:12" ht="24.75" customHeight="1" hidden="1">
      <c r="B171" s="122" t="s">
        <v>1335</v>
      </c>
      <c r="C171" s="817"/>
      <c r="D171" s="816"/>
      <c r="E171" s="816"/>
      <c r="F171" s="816"/>
      <c r="G171" s="816"/>
      <c r="H171" s="816"/>
      <c r="I171" s="816"/>
      <c r="J171" s="816"/>
      <c r="K171" s="816"/>
      <c r="L171" s="614"/>
    </row>
    <row r="172" spans="2:12" ht="24.75" customHeight="1" hidden="1">
      <c r="B172" s="112" t="s">
        <v>641</v>
      </c>
      <c r="C172" s="817">
        <f>D172+G172</f>
        <v>-0.0863362148045026</v>
      </c>
      <c r="D172" s="816">
        <f>D72/'表2人口動態'!R21*1000</f>
        <v>1.085677901166618</v>
      </c>
      <c r="E172" s="816">
        <f>E72/'表2人口動態'!R21*1000</f>
        <v>2.678581064309688</v>
      </c>
      <c r="F172" s="816">
        <f>F72/'表2人口動態'!R21*1000</f>
        <v>1.59290316314307</v>
      </c>
      <c r="G172" s="816">
        <f>G72/'表2人口動態'!R21*1000</f>
        <v>-1.1720141159711206</v>
      </c>
      <c r="H172" s="816">
        <f>H72/'表2人口動態'!R21*1000</f>
        <v>11.787051726184696</v>
      </c>
      <c r="I172" s="816">
        <f>I72/'表2人口動態'!R21*1000</f>
        <v>12.959065842155816</v>
      </c>
      <c r="J172" s="816">
        <f>J72/'表2人口動態'!R21*1000</f>
        <v>2.2058902882550373</v>
      </c>
      <c r="K172" s="816">
        <f>K72/'表2人口動態'!R21*1000</f>
        <v>0.6604720432544436</v>
      </c>
      <c r="L172" s="614"/>
    </row>
    <row r="173" spans="2:12" ht="15.75" hidden="1">
      <c r="B173" s="122" t="s">
        <v>1336</v>
      </c>
      <c r="C173" s="817"/>
      <c r="D173" s="816"/>
      <c r="E173" s="816"/>
      <c r="F173" s="816"/>
      <c r="G173" s="816"/>
      <c r="H173" s="816"/>
      <c r="I173" s="816"/>
      <c r="J173" s="816"/>
      <c r="K173" s="816"/>
      <c r="L173" s="614"/>
    </row>
    <row r="174" spans="2:12" ht="30" customHeight="1">
      <c r="B174" s="112" t="s">
        <v>642</v>
      </c>
      <c r="C174" s="613">
        <f>D174+G174</f>
        <v>-2.1586651281585874</v>
      </c>
      <c r="D174" s="613">
        <f>D74/'表2人口動態'!$R$22*1000</f>
        <v>2.7377664838607907</v>
      </c>
      <c r="E174" s="613">
        <f>E74/'表2人口動態'!$R$22*1000</f>
        <v>9.568137324811037</v>
      </c>
      <c r="F174" s="613">
        <f>F74/'表2人口動態'!$R$22*1000</f>
        <v>6.830370840950245</v>
      </c>
      <c r="G174" s="613">
        <f>G74/'表2人口動態'!$R$22*1000</f>
        <v>-4.896431612019378</v>
      </c>
      <c r="H174" s="613">
        <f>H74/'表2人口動態'!$R$22*1000</f>
        <v>51.3152947582684</v>
      </c>
      <c r="I174" s="613">
        <f>I74/'表2人口動態'!$R$22*1000</f>
        <v>56.21172637028778</v>
      </c>
      <c r="J174" s="613">
        <f>J74/'表2人口動態'!$R$22*1000</f>
        <v>5.611665002830682</v>
      </c>
      <c r="K174" s="613">
        <f>K74/'表2人口動態'!$R$22*1000</f>
        <v>2.452537457917914</v>
      </c>
      <c r="L174" s="614"/>
    </row>
    <row r="175" spans="2:12" ht="24.75" customHeight="1" hidden="1">
      <c r="B175" s="112" t="s">
        <v>643</v>
      </c>
      <c r="C175" s="817">
        <f>D175+G175</f>
        <v>-1.1381748599418604</v>
      </c>
      <c r="D175" s="816">
        <f>D75/'表2人口動態'!R23*1000</f>
        <v>0.4427435413436078</v>
      </c>
      <c r="E175" s="816">
        <f>E75/'表2人口動態'!R23*1000</f>
        <v>2.364898428152442</v>
      </c>
      <c r="F175" s="816">
        <f>F75/'表2人口動態'!R23*1000</f>
        <v>1.9221548868088343</v>
      </c>
      <c r="G175" s="816">
        <f>G75/'表2人口動態'!R23*1000</f>
        <v>-1.5809184012854682</v>
      </c>
      <c r="H175" s="816">
        <f>H75/'表2人口動態'!R23*1000</f>
        <v>11.666832245552047</v>
      </c>
      <c r="I175" s="816">
        <f>I75/'表2人口動態'!R23*1000</f>
        <v>13.247750646837515</v>
      </c>
      <c r="J175" s="816">
        <f>J75/'表2人口動態'!R23*1000</f>
        <v>1.9307937851765145</v>
      </c>
      <c r="K175" s="816">
        <f>K75/'表2人口動態'!R23*1000</f>
        <v>0.5701672922668901</v>
      </c>
      <c r="L175" s="614"/>
    </row>
    <row r="176" spans="2:12" ht="24.75" customHeight="1" hidden="1">
      <c r="B176" s="122" t="s">
        <v>1333</v>
      </c>
      <c r="C176" s="819"/>
      <c r="D176" s="818"/>
      <c r="E176" s="818"/>
      <c r="F176" s="818"/>
      <c r="G176" s="818"/>
      <c r="H176" s="818"/>
      <c r="I176" s="818"/>
      <c r="J176" s="818"/>
      <c r="K176" s="818"/>
      <c r="L176" s="614"/>
    </row>
    <row r="177" spans="2:12" ht="24.75" customHeight="1" hidden="1">
      <c r="B177" s="112" t="s">
        <v>644</v>
      </c>
      <c r="C177" s="817">
        <f>D177+G177</f>
        <v>-0.9620872753688361</v>
      </c>
      <c r="D177" s="816">
        <f>D77/'表2人口動態'!R24*1000</f>
        <v>0.5123925489043015</v>
      </c>
      <c r="E177" s="816">
        <f>E77/'表2人口動態'!R24*1000</f>
        <v>2.1814518221284396</v>
      </c>
      <c r="F177" s="816">
        <f>F77/'表2人口動態'!R24*1000</f>
        <v>1.6690592732241383</v>
      </c>
      <c r="G177" s="816">
        <f>G77/'表2人口動態'!R24*1000</f>
        <v>-1.4744798242731376</v>
      </c>
      <c r="H177" s="816">
        <f>H77/'表2人口動態'!R24*1000</f>
        <v>13.47138384904094</v>
      </c>
      <c r="I177" s="816">
        <f>I77/'表2人口動態'!R24*1000</f>
        <v>14.945863673314076</v>
      </c>
      <c r="J177" s="816">
        <f>J77/'表2人口動態'!R24*1000</f>
        <v>1.1609907120743033</v>
      </c>
      <c r="K177" s="816">
        <f>K77/'表2人口動態'!R24*1000</f>
        <v>0.6118442672570351</v>
      </c>
      <c r="L177" s="614"/>
    </row>
    <row r="178" spans="2:12" ht="24.75" customHeight="1" hidden="1">
      <c r="B178" s="122" t="s">
        <v>1334</v>
      </c>
      <c r="C178" s="819"/>
      <c r="D178" s="818"/>
      <c r="E178" s="818"/>
      <c r="F178" s="818"/>
      <c r="G178" s="818"/>
      <c r="H178" s="818"/>
      <c r="I178" s="818"/>
      <c r="J178" s="818"/>
      <c r="K178" s="818"/>
      <c r="L178" s="614"/>
    </row>
    <row r="179" spans="2:12" ht="24.75" customHeight="1" hidden="1">
      <c r="B179" s="112" t="s">
        <v>645</v>
      </c>
      <c r="C179" s="817">
        <f>D179+G179</f>
        <v>-0.17522113556275198</v>
      </c>
      <c r="D179" s="816">
        <f>D79/'表2人口動態'!$R$25*1000</f>
        <v>0.7506386918552457</v>
      </c>
      <c r="E179" s="816">
        <f>E79/'表2人口動態'!$R$25*1000</f>
        <v>2.3925256287951058</v>
      </c>
      <c r="F179" s="816">
        <f>F79/'表2人口動態'!$R$25*1000</f>
        <v>1.6418869369398603</v>
      </c>
      <c r="G179" s="816">
        <f>G79/'表2人口動態'!$R$25*1000</f>
        <v>-0.9258598274179977</v>
      </c>
      <c r="H179" s="816">
        <f>H79/'表2人口動態'!$R$25*1000</f>
        <v>14.986815150354877</v>
      </c>
      <c r="I179" s="816">
        <f>I79/'表2人口動態'!$R$25*1000</f>
        <v>15.912674977772875</v>
      </c>
      <c r="J179" s="816">
        <f>J79/'表2人口動態'!$R$25*1000</f>
        <v>1.0686326045432026</v>
      </c>
      <c r="K179" s="816">
        <f>K79/'表2人口動態'!$R$25*1000</f>
        <v>0.6576200643342787</v>
      </c>
      <c r="L179" s="614"/>
    </row>
    <row r="180" spans="2:12" ht="24.75" customHeight="1" hidden="1">
      <c r="B180" s="122" t="s">
        <v>1335</v>
      </c>
      <c r="C180" s="819"/>
      <c r="D180" s="818"/>
      <c r="E180" s="818"/>
      <c r="F180" s="818"/>
      <c r="G180" s="818"/>
      <c r="H180" s="818"/>
      <c r="I180" s="818"/>
      <c r="J180" s="818"/>
      <c r="K180" s="818"/>
      <c r="L180" s="614"/>
    </row>
    <row r="181" spans="2:12" ht="24.75" customHeight="1" hidden="1">
      <c r="B181" s="112" t="s">
        <v>646</v>
      </c>
      <c r="C181" s="817">
        <f>D181+G181</f>
        <v>0.11681762821275521</v>
      </c>
      <c r="D181" s="816">
        <f>D81/'表2人口動態'!R26*1000</f>
        <v>1.0340523386240181</v>
      </c>
      <c r="E181" s="816">
        <f>E81/'表2人口動態'!R26*1000</f>
        <v>2.6348865030210336</v>
      </c>
      <c r="F181" s="816">
        <f>F81/'表2人口動態'!R26*1000</f>
        <v>1.6008341643970154</v>
      </c>
      <c r="G181" s="816">
        <f>G81/'表2人口動態'!R26*1000</f>
        <v>-0.9172347104112629</v>
      </c>
      <c r="H181" s="816">
        <f>H81/'表2人口動態'!R26*1000</f>
        <v>11.22098217665854</v>
      </c>
      <c r="I181" s="816">
        <f>I81/'表2人口動態'!R26*1000</f>
        <v>12.138216887069804</v>
      </c>
      <c r="J181" s="816">
        <f>J81/'表2人口動態'!R26*1000</f>
        <v>1.453730484425398</v>
      </c>
      <c r="K181" s="816">
        <f>K81/'表2人口動態'!R26*1000</f>
        <v>0.6143741928226384</v>
      </c>
      <c r="L181" s="614"/>
    </row>
    <row r="182" spans="2:12" ht="24.75" customHeight="1" hidden="1">
      <c r="B182" s="122" t="s">
        <v>1336</v>
      </c>
      <c r="C182" s="817"/>
      <c r="D182" s="816"/>
      <c r="E182" s="816"/>
      <c r="F182" s="816"/>
      <c r="G182" s="816"/>
      <c r="H182" s="816"/>
      <c r="I182" s="816"/>
      <c r="J182" s="816"/>
      <c r="K182" s="816"/>
      <c r="L182" s="614"/>
    </row>
    <row r="183" spans="2:12" ht="30" customHeight="1">
      <c r="B183" s="112" t="s">
        <v>647</v>
      </c>
      <c r="C183" s="573">
        <f>D183+G183</f>
        <v>-1.5153614353503515</v>
      </c>
      <c r="D183" s="573">
        <f>D83/'表2人口動態'!$R$27*1000</f>
        <v>1.8985313982889405</v>
      </c>
      <c r="E183" s="573">
        <f>E83/'表2人口動態'!$R$27*1000</f>
        <v>8.871358802951057</v>
      </c>
      <c r="F183" s="573">
        <f>F83/'表2人口動態'!$R$27*1000</f>
        <v>6.972827404662118</v>
      </c>
      <c r="G183" s="573">
        <f>G83/'表2人口動態'!$R$27*1000</f>
        <v>-3.413892833639292</v>
      </c>
      <c r="H183" s="573">
        <f>H83/'表2人口動態'!$R$27*1000</f>
        <v>59.29176336115825</v>
      </c>
      <c r="I183" s="573">
        <f>I83/'表2人口動態'!$R$27*1000</f>
        <v>62.70565619479755</v>
      </c>
      <c r="J183" s="573">
        <f>J83/'表2人口動態'!$R$27*1000</f>
        <v>5.7064182051193235</v>
      </c>
      <c r="K183" s="573">
        <f>K83/'表2人口動態'!$R$27*1000</f>
        <v>2.487357556025077</v>
      </c>
      <c r="L183" s="614"/>
    </row>
    <row r="184" spans="2:12" ht="16.5" customHeight="1" hidden="1">
      <c r="B184" s="112" t="s">
        <v>643</v>
      </c>
      <c r="C184" s="817">
        <f>D184+G184</f>
        <v>-0.6664762448824145</v>
      </c>
      <c r="D184" s="816">
        <f>D84/'表2人口動態'!R28*1000</f>
        <v>0.3743519167683692</v>
      </c>
      <c r="E184" s="816">
        <f>E84/'表2人口動態'!R28*1000</f>
        <v>2.1811949832515385</v>
      </c>
      <c r="F184" s="816">
        <f>F84/'表2人口動態'!R28*1000</f>
        <v>1.8068430664831692</v>
      </c>
      <c r="G184" s="816">
        <f>G84/'表2人口動態'!R28*1000</f>
        <v>-1.0408281616507837</v>
      </c>
      <c r="H184" s="816">
        <f>H84/'表2人口動態'!R28*1000</f>
        <v>11.951130845732388</v>
      </c>
      <c r="I184" s="816">
        <f>I84/'表2人口動態'!R28*1000</f>
        <v>12.991959007383171</v>
      </c>
      <c r="J184" s="816">
        <f>J84/'表2人口動態'!R28*1000</f>
        <v>1.475768827953918</v>
      </c>
      <c r="K184" s="816">
        <f>K84/'表2人口動態'!R28*1000</f>
        <v>0.5301515584291934</v>
      </c>
      <c r="L184" s="614"/>
    </row>
    <row r="185" spans="2:12" ht="16.5" customHeight="1" hidden="1">
      <c r="B185" s="122" t="s">
        <v>1333</v>
      </c>
      <c r="C185" s="817"/>
      <c r="D185" s="816"/>
      <c r="E185" s="816"/>
      <c r="F185" s="816"/>
      <c r="G185" s="816"/>
      <c r="H185" s="816"/>
      <c r="I185" s="816"/>
      <c r="J185" s="816"/>
      <c r="K185" s="816"/>
      <c r="L185" s="614"/>
    </row>
    <row r="186" spans="2:12" ht="16.5" customHeight="1" hidden="1">
      <c r="B186" s="112" t="s">
        <v>644</v>
      </c>
      <c r="C186" s="817">
        <f>D186+G186</f>
        <v>-0.6127703064068057</v>
      </c>
      <c r="D186" s="816">
        <f>D86/'表2人口動態'!R29*1000</f>
        <v>0.4308879539751038</v>
      </c>
      <c r="E186" s="816">
        <f>E86/'表2人口動態'!R29*1000</f>
        <v>2.204240890184199</v>
      </c>
      <c r="F186" s="816">
        <f>F86/'表2人口動態'!R29*1000</f>
        <v>1.7733529362090954</v>
      </c>
      <c r="G186" s="816">
        <f>G86/'表2人口動態'!R29*1000</f>
        <v>-1.0436582603819096</v>
      </c>
      <c r="H186" s="816">
        <f>H86/'表2人口動態'!R29*1000</f>
        <v>17.43472264023887</v>
      </c>
      <c r="I186" s="816">
        <f>I86/'表2人口動態'!R29*1000</f>
        <v>18.47838090062078</v>
      </c>
      <c r="J186" s="816">
        <f>J86/'表2人口動態'!R29*1000</f>
        <v>1.3792745059404077</v>
      </c>
      <c r="K186" s="816">
        <f>K86/'表2人口動態'!R29*1000</f>
        <v>0.6106050403064285</v>
      </c>
      <c r="L186" s="614"/>
    </row>
    <row r="187" spans="2:12" ht="16.5" customHeight="1" hidden="1">
      <c r="B187" s="122" t="s">
        <v>1334</v>
      </c>
      <c r="C187" s="817"/>
      <c r="D187" s="816"/>
      <c r="E187" s="816"/>
      <c r="F187" s="816"/>
      <c r="G187" s="816"/>
      <c r="H187" s="816"/>
      <c r="I187" s="816"/>
      <c r="J187" s="816"/>
      <c r="K187" s="816"/>
      <c r="L187" s="614"/>
    </row>
    <row r="188" spans="2:12" ht="16.5" customHeight="1" hidden="1">
      <c r="B188" s="112" t="s">
        <v>645</v>
      </c>
      <c r="C188" s="817">
        <f>D188+G188</f>
        <v>-0.4939544738626589</v>
      </c>
      <c r="D188" s="816">
        <f>D88/'表2人口動態'!R30*1000</f>
        <v>0.5047868088157875</v>
      </c>
      <c r="E188" s="816">
        <f>E88/'表2人口動態'!R30*1000</f>
        <v>2.192464594513206</v>
      </c>
      <c r="F188" s="816">
        <f>F88/'表2人口動態'!R30*1000</f>
        <v>1.687677785697418</v>
      </c>
      <c r="G188" s="816">
        <f>G88/'表2人口動態'!R30*1000</f>
        <v>-0.9987412826784464</v>
      </c>
      <c r="H188" s="816">
        <f>H88/'表2人口動態'!R30*1000</f>
        <v>17.034929947289857</v>
      </c>
      <c r="I188" s="816">
        <f>I88/'表2人口動態'!R30*1000</f>
        <v>18.033671229968306</v>
      </c>
      <c r="J188" s="816">
        <f>J88/'表2人口動態'!R30*1000</f>
        <v>1.165559240956625</v>
      </c>
      <c r="K188" s="816">
        <f>K88/'表2人口動態'!R30*1000</f>
        <v>0.6932694370002231</v>
      </c>
      <c r="L188" s="614"/>
    </row>
    <row r="189" spans="2:12" ht="16.5" customHeight="1" hidden="1">
      <c r="B189" s="122" t="s">
        <v>1335</v>
      </c>
      <c r="C189" s="817"/>
      <c r="D189" s="816"/>
      <c r="E189" s="816"/>
      <c r="F189" s="816"/>
      <c r="G189" s="816"/>
      <c r="H189" s="816"/>
      <c r="I189" s="816"/>
      <c r="J189" s="816"/>
      <c r="K189" s="816"/>
      <c r="L189" s="614"/>
    </row>
    <row r="190" spans="2:12" ht="16.5" customHeight="1" hidden="1">
      <c r="B190" s="112" t="s">
        <v>646</v>
      </c>
      <c r="C190" s="817">
        <f>D190+G190</f>
        <v>0.2578397363534527</v>
      </c>
      <c r="D190" s="816">
        <f>D90/'表2人口動態'!R31*1000</f>
        <v>0.589347968807892</v>
      </c>
      <c r="E190" s="816">
        <f>E90/'表2人口動態'!R31*1000</f>
        <v>2.2967237019719327</v>
      </c>
      <c r="F190" s="816">
        <f>F90/'表2人口動態'!R31*1000</f>
        <v>1.7073757331640402</v>
      </c>
      <c r="G190" s="816">
        <f>G90/'表2人口動態'!R31*1000</f>
        <v>-0.3315082324544393</v>
      </c>
      <c r="H190" s="816">
        <f>H90/'表2人口動態'!R31*1000</f>
        <v>12.894153538146197</v>
      </c>
      <c r="I190" s="816">
        <f>I90/'表2人口動態'!R31*1000</f>
        <v>13.225661770600636</v>
      </c>
      <c r="J190" s="816">
        <f>J90/'表2人口動態'!R31*1000</f>
        <v>1.6878752489020143</v>
      </c>
      <c r="K190" s="816">
        <f>K90/'表2人口動態'!R31*1000</f>
        <v>0.6543495830146449</v>
      </c>
      <c r="L190" s="614"/>
    </row>
    <row r="191" spans="2:12" ht="16.5" customHeight="1" hidden="1">
      <c r="B191" s="122" t="s">
        <v>1336</v>
      </c>
      <c r="C191" s="817"/>
      <c r="D191" s="816"/>
      <c r="E191" s="816"/>
      <c r="F191" s="816"/>
      <c r="G191" s="816"/>
      <c r="H191" s="816"/>
      <c r="I191" s="816"/>
      <c r="J191" s="816"/>
      <c r="K191" s="816"/>
      <c r="L191" s="614"/>
    </row>
    <row r="192" spans="2:12" ht="30" customHeight="1">
      <c r="B192" s="112" t="s">
        <v>648</v>
      </c>
      <c r="C192" s="573">
        <f>D192+G192</f>
        <v>-2.516236231198726</v>
      </c>
      <c r="D192" s="573">
        <f>D92/'表2人口動態'!R32*1000</f>
        <v>1.5943393361474687</v>
      </c>
      <c r="E192" s="573">
        <f>E92/'表2人口動態'!R32*1000</f>
        <v>8.57255653939428</v>
      </c>
      <c r="F192" s="573">
        <f>F92/'表2人口動態'!R32*1000</f>
        <v>6.978217203246813</v>
      </c>
      <c r="G192" s="573">
        <f>G92/'表2人口動態'!R32*1000</f>
        <v>-4.110575567346195</v>
      </c>
      <c r="H192" s="573">
        <f>H92/'表2人口動態'!R32*1000</f>
        <v>56.029639527468184</v>
      </c>
      <c r="I192" s="573">
        <f>I92/'表2人口動態'!R32*1000</f>
        <v>60.14021509481438</v>
      </c>
      <c r="J192" s="573">
        <f>J92/'表2人口動態'!R32*1000</f>
        <v>5.774328316768111</v>
      </c>
      <c r="K192" s="573">
        <f>K92/'表2人口動態'!R32*1000</f>
        <v>2.6550630577476215</v>
      </c>
      <c r="L192" s="614"/>
    </row>
    <row r="193" spans="2:12" ht="16.5" customHeight="1" hidden="1">
      <c r="B193" s="112" t="s">
        <v>643</v>
      </c>
      <c r="C193" s="817">
        <f>D193+G193</f>
        <v>-1.018747114452987</v>
      </c>
      <c r="D193" s="816">
        <f>D93/'表2人口動態'!R33*1000</f>
        <v>0.17123621711018291</v>
      </c>
      <c r="E193" s="816">
        <f>E93/'表2人口動態'!R33*1000</f>
        <v>2.1046881875188306</v>
      </c>
      <c r="F193" s="816">
        <f>F93/'表2人口動態'!R33*1000</f>
        <v>1.9334519704086477</v>
      </c>
      <c r="G193" s="816">
        <f>G93/'表2人口動態'!R33*1000</f>
        <v>-1.1899833315631698</v>
      </c>
      <c r="H193" s="816">
        <f>H93/'表2人口動態'!R33*1000</f>
        <v>13.935159997485645</v>
      </c>
      <c r="I193" s="816">
        <f>I93/'表2人口動態'!R33*1000</f>
        <v>15.125143329048814</v>
      </c>
      <c r="J193" s="816">
        <f>J93/'表2人口動態'!R33*1000</f>
        <v>1.5411259539916462</v>
      </c>
      <c r="K193" s="816">
        <f>K93/'表2人口動態'!R33*1000</f>
        <v>0.6199184568799028</v>
      </c>
      <c r="L193" s="614"/>
    </row>
    <row r="194" spans="2:12" ht="16.5" customHeight="1" hidden="1">
      <c r="B194" s="122" t="s">
        <v>1333</v>
      </c>
      <c r="C194" s="817"/>
      <c r="D194" s="816"/>
      <c r="E194" s="816"/>
      <c r="F194" s="816"/>
      <c r="G194" s="816"/>
      <c r="H194" s="816"/>
      <c r="I194" s="816"/>
      <c r="J194" s="816"/>
      <c r="K194" s="816"/>
      <c r="L194" s="614"/>
    </row>
    <row r="195" spans="2:12" ht="16.5" customHeight="1" hidden="1">
      <c r="B195" s="112" t="s">
        <v>644</v>
      </c>
      <c r="C195" s="817">
        <f>D195+G195</f>
        <v>-0.5661777147245253</v>
      </c>
      <c r="D195" s="816">
        <f>D95/'表2人口動態'!R34*1000</f>
        <v>0.4013137058392229</v>
      </c>
      <c r="E195" s="816">
        <f>E95/'表2人口動態'!R34*1000</f>
        <v>2.05429232124186</v>
      </c>
      <c r="F195" s="816">
        <f>F95/'表2人口動態'!R34*1000</f>
        <v>1.652978615402637</v>
      </c>
      <c r="G195" s="816">
        <f>G95/'表2人口動態'!R34*1000</f>
        <v>-0.9674914205637482</v>
      </c>
      <c r="H195" s="816">
        <f>H95/'表2人口動態'!R34*1000</f>
        <v>13.16959734135093</v>
      </c>
      <c r="I195" s="816">
        <f>I95/'表2人口動態'!R34*1000</f>
        <v>14.137088761914677</v>
      </c>
      <c r="J195" s="816">
        <f>J95/'表2人口動態'!R34*1000</f>
        <v>1.4403908144715891</v>
      </c>
      <c r="K195" s="816">
        <f>K95/'表2人口動態'!R34*1000</f>
        <v>0.6746408784648558</v>
      </c>
      <c r="L195" s="614"/>
    </row>
    <row r="196" spans="2:12" ht="16.5" customHeight="1" hidden="1">
      <c r="B196" s="122" t="s">
        <v>1334</v>
      </c>
      <c r="C196" s="817"/>
      <c r="D196" s="816"/>
      <c r="E196" s="816"/>
      <c r="F196" s="816"/>
      <c r="G196" s="816"/>
      <c r="H196" s="816"/>
      <c r="I196" s="816"/>
      <c r="J196" s="816"/>
      <c r="K196" s="816"/>
      <c r="L196" s="614"/>
    </row>
    <row r="197" spans="2:12" ht="16.5" customHeight="1" hidden="1">
      <c r="B197" s="112" t="s">
        <v>645</v>
      </c>
      <c r="C197" s="817">
        <f>D197+G197</f>
        <v>-0.555643580688781</v>
      </c>
      <c r="D197" s="816">
        <f>D97/'表2人口動態'!R35*1000</f>
        <v>0.4406079956243068</v>
      </c>
      <c r="E197" s="816">
        <f>E97/'表2人口動態'!R35*1000</f>
        <v>2.0945158412682563</v>
      </c>
      <c r="F197" s="816">
        <f>F97/'表2人口動態'!R35*1000</f>
        <v>1.6539078456439495</v>
      </c>
      <c r="G197" s="816">
        <f>G97/'表2人口動態'!R35*1000</f>
        <v>-0.9962515763130878</v>
      </c>
      <c r="H197" s="816">
        <f>H97/'表2人口動態'!R35*1000</f>
        <v>15.349653916527576</v>
      </c>
      <c r="I197" s="816">
        <f>I97/'表2人口動態'!R35*1000</f>
        <v>16.34590549284066</v>
      </c>
      <c r="J197" s="816">
        <f>J97/'表2人口動態'!R35*1000</f>
        <v>0.9810581971536289</v>
      </c>
      <c r="K197" s="816">
        <f>K97/'表2人口動態'!R35*1000</f>
        <v>0.7314526823910906</v>
      </c>
      <c r="L197" s="614"/>
    </row>
    <row r="198" spans="2:12" ht="16.5" customHeight="1" hidden="1">
      <c r="B198" s="122" t="s">
        <v>1335</v>
      </c>
      <c r="C198" s="817"/>
      <c r="D198" s="816"/>
      <c r="E198" s="816"/>
      <c r="F198" s="816"/>
      <c r="G198" s="816"/>
      <c r="H198" s="816"/>
      <c r="I198" s="816"/>
      <c r="J198" s="816"/>
      <c r="K198" s="816"/>
      <c r="L198" s="614"/>
    </row>
    <row r="199" spans="2:12" ht="16.5" customHeight="1" hidden="1">
      <c r="B199" s="112" t="s">
        <v>646</v>
      </c>
      <c r="C199" s="817">
        <f>D199+G199</f>
        <v>-0.37566800502917397</v>
      </c>
      <c r="D199" s="816">
        <f>D99/'表2人口動態'!R36*1000</f>
        <v>0.5819596840914372</v>
      </c>
      <c r="E199" s="816">
        <f>E99/'表2人口動態'!R36*1000</f>
        <v>2.3213242622900983</v>
      </c>
      <c r="F199" s="816">
        <f>F99/'表2人口動態'!R36*1000</f>
        <v>1.739364578198661</v>
      </c>
      <c r="G199" s="816">
        <f>G99/'表2人口動態'!R36*1000</f>
        <v>-0.9576276891206111</v>
      </c>
      <c r="H199" s="816">
        <f>H99/'表2人口動態'!R36*1000</f>
        <v>13.589192921806768</v>
      </c>
      <c r="I199" s="816">
        <f>I99/'表2人口動態'!R36*1000</f>
        <v>14.546820610927378</v>
      </c>
      <c r="J199" s="816">
        <f>J99/'表2人口動態'!R36*1000</f>
        <v>1.813195284389366</v>
      </c>
      <c r="K199" s="816">
        <f>K99/'表2人口動態'!R36*1000</f>
        <v>0.6297324939795402</v>
      </c>
      <c r="L199" s="614"/>
    </row>
    <row r="200" spans="2:12" ht="16.5" customHeight="1" hidden="1">
      <c r="B200" s="122" t="s">
        <v>1336</v>
      </c>
      <c r="C200" s="817"/>
      <c r="D200" s="816"/>
      <c r="E200" s="816"/>
      <c r="F200" s="816"/>
      <c r="G200" s="816"/>
      <c r="H200" s="816"/>
      <c r="I200" s="816"/>
      <c r="J200" s="816"/>
      <c r="K200" s="816"/>
      <c r="L200" s="614"/>
    </row>
    <row r="201" spans="2:12" s="99" customFormat="1" ht="30" customHeight="1">
      <c r="B201" s="112" t="s">
        <v>649</v>
      </c>
      <c r="C201" s="573">
        <f>D201+G201</f>
        <v>-0.06081509604441271</v>
      </c>
      <c r="D201" s="573">
        <f>D101/'表2人口動態'!R37*1000</f>
        <v>1.0664361484930887</v>
      </c>
      <c r="E201" s="573">
        <f>E101/'表2人口動態'!R37*1000</f>
        <v>8.244789449449623</v>
      </c>
      <c r="F201" s="573">
        <f>F101/'表2人口動態'!R37*1000</f>
        <v>7.178353300956534</v>
      </c>
      <c r="G201" s="573">
        <f>G101/'表2人口動態'!R37*1000</f>
        <v>-1.1272512445375014</v>
      </c>
      <c r="H201" s="573">
        <f>H101/'表2人口動態'!R37*1000</f>
        <v>45.46145626091413</v>
      </c>
      <c r="I201" s="573">
        <f>I101/'表2人口動態'!R37*1000</f>
        <v>46.58870750545164</v>
      </c>
      <c r="J201" s="573">
        <f>J101/'表2人口動態'!R37*1000</f>
        <v>5.347384516476548</v>
      </c>
      <c r="K201" s="573">
        <f>K101/'表2人口動態'!R37*1000</f>
        <v>2.39133645517493</v>
      </c>
      <c r="L201" s="616"/>
    </row>
    <row r="202" spans="2:12" s="99" customFormat="1" ht="16.5" customHeight="1" hidden="1">
      <c r="B202" s="112" t="s">
        <v>643</v>
      </c>
      <c r="C202" s="817">
        <f>D202+G202</f>
        <v>-0.4670674032573063</v>
      </c>
      <c r="D202" s="816">
        <f>D102/'表2人口動態'!R38*1000</f>
        <v>0.04779294358911972</v>
      </c>
      <c r="E202" s="816">
        <f>E102/'表2人口動態'!R38*1000</f>
        <v>2.0073036307430283</v>
      </c>
      <c r="F202" s="816">
        <f>F102/'表2人口動態'!R38*1000</f>
        <v>1.9595106871539087</v>
      </c>
      <c r="G202" s="816">
        <f>G102/'表2人口動態'!R38*1000</f>
        <v>-0.514860346846426</v>
      </c>
      <c r="H202" s="816">
        <f>H102/'表2人口動態'!R38*1000</f>
        <v>11.27261746745192</v>
      </c>
      <c r="I202" s="816">
        <f>I102/'表2人口動態'!R38*1000</f>
        <v>11.787477814298345</v>
      </c>
      <c r="J202" s="816">
        <f>J102/'表2人口動態'!R38*1000</f>
        <v>1.38816777061125</v>
      </c>
      <c r="K202" s="816">
        <f>K102/'表2人口動態'!R38*1000</f>
        <v>0.577860136122993</v>
      </c>
      <c r="L202" s="616"/>
    </row>
    <row r="203" spans="2:12" s="99" customFormat="1" ht="16.5" customHeight="1" hidden="1">
      <c r="B203" s="122" t="s">
        <v>1333</v>
      </c>
      <c r="C203" s="817"/>
      <c r="D203" s="816"/>
      <c r="E203" s="816"/>
      <c r="F203" s="816"/>
      <c r="G203" s="816"/>
      <c r="H203" s="816"/>
      <c r="I203" s="816"/>
      <c r="J203" s="816"/>
      <c r="K203" s="816"/>
      <c r="L203" s="616"/>
    </row>
    <row r="204" spans="2:12" s="99" customFormat="1" ht="16.5" customHeight="1" hidden="1">
      <c r="B204" s="112" t="s">
        <v>644</v>
      </c>
      <c r="C204" s="817">
        <f>D204+G204</f>
        <v>-0.16950183844301697</v>
      </c>
      <c r="D204" s="816">
        <f>D104/'表2人口動態'!R39*1000</f>
        <v>0.29119546604313173</v>
      </c>
      <c r="E204" s="816">
        <f>E104/'表2人口動態'!R39*1000</f>
        <v>1.9036360317446521</v>
      </c>
      <c r="F204" s="816">
        <f>F104/'表2人口動態'!R39*1000</f>
        <v>1.6124405657015202</v>
      </c>
      <c r="G204" s="816">
        <f>G104/'表2人口動態'!R39*1000</f>
        <v>-0.4606973044861487</v>
      </c>
      <c r="H204" s="816">
        <f>H104/'表2人口動態'!R39*1000</f>
        <v>11.654337943203846</v>
      </c>
      <c r="I204" s="816">
        <f>I104/'表2人口動態'!R39*1000</f>
        <v>12.115035247689995</v>
      </c>
      <c r="J204" s="816">
        <f>J104/'表2人口動態'!R39*1000</f>
        <v>1.4320732247942074</v>
      </c>
      <c r="K204" s="816">
        <f>K104/'表2人口動態'!R39*1000</f>
        <v>0.5736985301148266</v>
      </c>
      <c r="L204" s="616"/>
    </row>
    <row r="205" spans="2:12" s="99" customFormat="1" ht="16.5" customHeight="1" hidden="1">
      <c r="B205" s="122" t="s">
        <v>1334</v>
      </c>
      <c r="C205" s="817"/>
      <c r="D205" s="816"/>
      <c r="E205" s="816"/>
      <c r="F205" s="816"/>
      <c r="G205" s="816"/>
      <c r="H205" s="816"/>
      <c r="I205" s="816"/>
      <c r="J205" s="816"/>
      <c r="K205" s="816"/>
      <c r="L205" s="616"/>
    </row>
    <row r="206" spans="2:12" s="99" customFormat="1" ht="16.5" customHeight="1" hidden="1">
      <c r="B206" s="112" t="s">
        <v>645</v>
      </c>
      <c r="C206" s="817">
        <f>D206+G206</f>
        <v>0.1303885796989328</v>
      </c>
      <c r="D206" s="816">
        <f>D106/'表2人口動態'!R40*1000</f>
        <v>0.3477028791971541</v>
      </c>
      <c r="E206" s="816">
        <f>E106/'表2人口動態'!R40*1000</f>
        <v>1.981906411423778</v>
      </c>
      <c r="F206" s="816">
        <f>F106/'表2人口動態'!R40*1000</f>
        <v>1.634203532226624</v>
      </c>
      <c r="G206" s="816">
        <f>G106/'表2人口動態'!R40*1000</f>
        <v>-0.21731429949822129</v>
      </c>
      <c r="H206" s="816">
        <f>H106/'表2人口動態'!R40*1000</f>
        <v>12.625960800846658</v>
      </c>
      <c r="I206" s="816">
        <f>I106/'表2人口動態'!R40*1000</f>
        <v>12.843275100344878</v>
      </c>
      <c r="J206" s="816">
        <f>J106/'表2人口動態'!R40*1000</f>
        <v>1.0061652066767646</v>
      </c>
      <c r="K206" s="816">
        <f>K106/'表2人口動態'!R40*1000</f>
        <v>0.643250326514735</v>
      </c>
      <c r="L206" s="616"/>
    </row>
    <row r="207" spans="2:12" s="99" customFormat="1" ht="16.5" customHeight="1" hidden="1">
      <c r="B207" s="122" t="s">
        <v>1335</v>
      </c>
      <c r="C207" s="817"/>
      <c r="D207" s="816"/>
      <c r="E207" s="816"/>
      <c r="F207" s="816"/>
      <c r="G207" s="816"/>
      <c r="H207" s="816"/>
      <c r="I207" s="816"/>
      <c r="J207" s="816"/>
      <c r="K207" s="816"/>
      <c r="L207" s="616"/>
    </row>
    <row r="208" spans="2:12" s="99" customFormat="1" ht="16.5" customHeight="1" hidden="1">
      <c r="B208" s="112" t="s">
        <v>646</v>
      </c>
      <c r="C208" s="817">
        <f>D208+G208</f>
        <v>0.4453660746194564</v>
      </c>
      <c r="D208" s="816">
        <f>D108/'表2人口動態'!R41*1000</f>
        <v>0.380190551504414</v>
      </c>
      <c r="E208" s="816">
        <f>E108/'表2人口動態'!R41*1000</f>
        <v>2.3550089018901987</v>
      </c>
      <c r="F208" s="816">
        <f>F108/'表2人口動態'!R41*1000</f>
        <v>1.9748183503857848</v>
      </c>
      <c r="G208" s="816">
        <f>G108/'表2人口動態'!R41*1000</f>
        <v>0.06517552311504239</v>
      </c>
      <c r="H208" s="816">
        <f>H108/'表2人口動態'!R41*1000</f>
        <v>9.926232170420958</v>
      </c>
      <c r="I208" s="816">
        <f>I108/'表2人口動態'!R41*1000</f>
        <v>9.861056647305915</v>
      </c>
      <c r="J208" s="816">
        <f>J108/'表2人口動態'!R41*1000</f>
        <v>1.522934723454824</v>
      </c>
      <c r="K208" s="816">
        <f>K108/'表2人口動態'!R41*1000</f>
        <v>0.597442295221222</v>
      </c>
      <c r="L208" s="616"/>
    </row>
    <row r="209" spans="2:12" s="99" customFormat="1" ht="16.5" customHeight="1" hidden="1">
      <c r="B209" s="122" t="s">
        <v>1336</v>
      </c>
      <c r="C209" s="817"/>
      <c r="D209" s="816"/>
      <c r="E209" s="816"/>
      <c r="F209" s="816"/>
      <c r="G209" s="816"/>
      <c r="H209" s="816"/>
      <c r="I209" s="816"/>
      <c r="J209" s="816"/>
      <c r="K209" s="816"/>
      <c r="L209" s="616"/>
    </row>
    <row r="210" spans="2:12" s="99" customFormat="1" ht="30" customHeight="1">
      <c r="B210" s="112" t="s">
        <v>650</v>
      </c>
      <c r="C210" s="571">
        <f aca="true" t="shared" si="10" ref="C210:K210">SUM(C211:C218)</f>
        <v>1.093327482390567</v>
      </c>
      <c r="D210" s="573">
        <f t="shared" si="10"/>
        <v>0.5249034242478501</v>
      </c>
      <c r="E210" s="573">
        <f t="shared" si="10"/>
        <v>7.991436051044001</v>
      </c>
      <c r="F210" s="573">
        <f t="shared" si="10"/>
        <v>7.468482721234276</v>
      </c>
      <c r="G210" s="573">
        <f t="shared" si="10"/>
        <v>0.5684240581427168</v>
      </c>
      <c r="H210" s="573">
        <f t="shared" si="10"/>
        <v>49.39312953598567</v>
      </c>
      <c r="I210" s="573">
        <f t="shared" si="10"/>
        <v>48.824705477842954</v>
      </c>
      <c r="J210" s="573">
        <f t="shared" si="10"/>
        <v>6.114587917793687</v>
      </c>
      <c r="K210" s="573">
        <f t="shared" si="10"/>
        <v>2.2332881210420794</v>
      </c>
      <c r="L210" s="616"/>
    </row>
    <row r="211" spans="2:12" s="99" customFormat="1" ht="16.5" customHeight="1" hidden="1">
      <c r="B211" s="112" t="s">
        <v>643</v>
      </c>
      <c r="C211" s="817">
        <f>D211+G211</f>
        <v>0.5602277390902162</v>
      </c>
      <c r="D211" s="816">
        <f>D111/'表2人口動態'!R43*1000</f>
        <v>-0.02388567879842007</v>
      </c>
      <c r="E211" s="816">
        <f>E111/'表2人口動態'!R43*1000</f>
        <v>2.06285407804537</v>
      </c>
      <c r="F211" s="816">
        <f>F111/'表2人口動態'!R43*1000</f>
        <v>2.0867397568437895</v>
      </c>
      <c r="G211" s="816">
        <f>G111/'表2人口動態'!R43*1000</f>
        <v>0.5841134178886362</v>
      </c>
      <c r="H211" s="816">
        <f>H111/'表2人口動態'!R43*1000</f>
        <v>11.224097609912123</v>
      </c>
      <c r="I211" s="816">
        <f>I111/'表2人口動態'!R43*1000</f>
        <v>10.639984192023485</v>
      </c>
      <c r="J211" s="816">
        <f>J111/'表2人口動態'!R43*1000</f>
        <v>1.5265120177535736</v>
      </c>
      <c r="K211" s="816">
        <f>K111/'表2人口動態'!R43*1000</f>
        <v>0.5537134630542835</v>
      </c>
      <c r="L211" s="616"/>
    </row>
    <row r="212" spans="2:12" s="99" customFormat="1" ht="16.5" customHeight="1" hidden="1">
      <c r="B212" s="122" t="s">
        <v>1333</v>
      </c>
      <c r="C212" s="817"/>
      <c r="D212" s="816"/>
      <c r="E212" s="816"/>
      <c r="F212" s="816"/>
      <c r="G212" s="816"/>
      <c r="H212" s="816"/>
      <c r="I212" s="816"/>
      <c r="J212" s="816"/>
      <c r="K212" s="816"/>
      <c r="L212" s="616"/>
    </row>
    <row r="213" spans="2:12" s="99" customFormat="1" ht="16.5" customHeight="1" hidden="1">
      <c r="B213" s="112" t="s">
        <v>644</v>
      </c>
      <c r="C213" s="817">
        <f>D213+G213</f>
        <v>0.9243407562669651</v>
      </c>
      <c r="D213" s="816">
        <f>D113/'表2人口動態'!R44*1000</f>
        <v>0.04122646565509939</v>
      </c>
      <c r="E213" s="816">
        <f>E113/'表2人口動態'!R44*1000</f>
        <v>1.8052852328969837</v>
      </c>
      <c r="F213" s="816">
        <f>F113/'表2人口動態'!R44*1000</f>
        <v>1.7640587672418844</v>
      </c>
      <c r="G213" s="816">
        <f>G113/'表2人口動態'!R44*1000</f>
        <v>0.8831142906118657</v>
      </c>
      <c r="H213" s="816">
        <f>H113/'表2人口動態'!R44*1000</f>
        <v>13.71756399323886</v>
      </c>
      <c r="I213" s="816">
        <f>I113/'表2人口動態'!R44*1000</f>
        <v>12.834449702626994</v>
      </c>
      <c r="J213" s="816">
        <f>J113/'表2人口動態'!R44*1000</f>
        <v>1.5123603453475933</v>
      </c>
      <c r="K213" s="816">
        <f>K113/'表2人口動態'!R44*1000</f>
        <v>0.5250949836070553</v>
      </c>
      <c r="L213" s="616"/>
    </row>
    <row r="214" spans="2:12" s="99" customFormat="1" ht="16.5" customHeight="1" hidden="1">
      <c r="B214" s="122" t="s">
        <v>1334</v>
      </c>
      <c r="C214" s="817"/>
      <c r="D214" s="816"/>
      <c r="E214" s="816"/>
      <c r="F214" s="816"/>
      <c r="G214" s="816"/>
      <c r="H214" s="816"/>
      <c r="I214" s="816"/>
      <c r="J214" s="816"/>
      <c r="K214" s="816"/>
      <c r="L214" s="616"/>
    </row>
    <row r="215" spans="2:12" s="99" customFormat="1" ht="15" customHeight="1" hidden="1">
      <c r="B215" s="112" t="s">
        <v>645</v>
      </c>
      <c r="C215" s="817">
        <f>D215+G215</f>
        <v>0.026025400791172187</v>
      </c>
      <c r="D215" s="816">
        <f>D115/'表2人口動態'!R45*1000</f>
        <v>0.16265875494482615</v>
      </c>
      <c r="E215" s="816">
        <f>E115/'表2人口動態'!R45*1000</f>
        <v>1.871660073565133</v>
      </c>
      <c r="F215" s="816">
        <f>F115/'表2人口動態'!R45*1000</f>
        <v>1.7090013186203068</v>
      </c>
      <c r="G215" s="816">
        <f>G115/'表2人口動態'!R45*1000</f>
        <v>-0.13663335415365396</v>
      </c>
      <c r="H215" s="816">
        <f>H115/'表2人口動態'!R45*1000</f>
        <v>13.259941703102228</v>
      </c>
      <c r="I215" s="816">
        <f>I115/'表2人口動態'!R45*1000</f>
        <v>13.396575057255882</v>
      </c>
      <c r="J215" s="816">
        <f>J115/'表2人口動態'!R45*1000</f>
        <v>0.9802900964674857</v>
      </c>
      <c r="K215" s="816">
        <f>K115/'表2人口動態'!R45*1000</f>
        <v>0.5899090845999029</v>
      </c>
      <c r="L215" s="616"/>
    </row>
    <row r="216" spans="2:12" s="99" customFormat="1" ht="15" customHeight="1" hidden="1">
      <c r="B216" s="122" t="s">
        <v>1335</v>
      </c>
      <c r="C216" s="817"/>
      <c r="D216" s="816"/>
      <c r="E216" s="816"/>
      <c r="F216" s="816"/>
      <c r="G216" s="816"/>
      <c r="H216" s="816"/>
      <c r="I216" s="816"/>
      <c r="J216" s="816"/>
      <c r="K216" s="816"/>
      <c r="L216" s="616"/>
    </row>
    <row r="217" spans="2:12" s="99" customFormat="1" ht="15" customHeight="1" hidden="1">
      <c r="B217" s="112" t="s">
        <v>646</v>
      </c>
      <c r="C217" s="817">
        <f>D217+G217</f>
        <v>-0.4172664137577867</v>
      </c>
      <c r="D217" s="816">
        <f>D117/'表2人口動態'!R46*1000</f>
        <v>0.3449038824463446</v>
      </c>
      <c r="E217" s="816">
        <f>E117/'表2人口動態'!R46*1000</f>
        <v>2.2516366665365144</v>
      </c>
      <c r="F217" s="816">
        <f>F117/'表2人口動態'!R43*1000</f>
        <v>1.9086828785282948</v>
      </c>
      <c r="G217" s="816">
        <f>G117/'表2人口動態'!R43*1000</f>
        <v>-0.7621702962041313</v>
      </c>
      <c r="H217" s="816">
        <f>H117/'表2人口動態'!R43*1000</f>
        <v>11.191526229732458</v>
      </c>
      <c r="I217" s="816">
        <f>I117/'表2人口動態'!R43*1000</f>
        <v>11.95369652593659</v>
      </c>
      <c r="J217" s="816">
        <f>J117/'表2人口動態'!R43*1000</f>
        <v>2.0954254582250336</v>
      </c>
      <c r="K217" s="816">
        <f>K117/'表2人口動態'!R43*1000</f>
        <v>0.564570589780838</v>
      </c>
      <c r="L217" s="616"/>
    </row>
    <row r="218" spans="2:12" s="99" customFormat="1" ht="15" customHeight="1" hidden="1">
      <c r="B218" s="122" t="s">
        <v>1336</v>
      </c>
      <c r="C218" s="817"/>
      <c r="D218" s="816"/>
      <c r="E218" s="816"/>
      <c r="F218" s="816"/>
      <c r="G218" s="816"/>
      <c r="H218" s="816"/>
      <c r="I218" s="816"/>
      <c r="J218" s="816"/>
      <c r="K218" s="816"/>
      <c r="L218" s="616"/>
    </row>
    <row r="219" spans="2:12" s="99" customFormat="1" ht="30" customHeight="1">
      <c r="B219" s="112" t="s">
        <v>651</v>
      </c>
      <c r="C219" s="571">
        <f aca="true" t="shared" si="11" ref="C219:K219">SUM(C220:C227)</f>
        <v>1.5674339267518942</v>
      </c>
      <c r="D219" s="573">
        <f t="shared" si="11"/>
        <v>0.7283734110925737</v>
      </c>
      <c r="E219" s="573">
        <f t="shared" si="11"/>
        <v>7.88571775920922</v>
      </c>
      <c r="F219" s="573">
        <f t="shared" si="11"/>
        <v>7.157344348116645</v>
      </c>
      <c r="G219" s="573">
        <f t="shared" si="11"/>
        <v>0.8390605156593205</v>
      </c>
      <c r="H219" s="573">
        <f t="shared" si="11"/>
        <v>56.51862508799012</v>
      </c>
      <c r="I219" s="573">
        <f t="shared" si="11"/>
        <v>55.67956457233079</v>
      </c>
      <c r="J219" s="573">
        <f t="shared" si="11"/>
        <v>4.676932554853712</v>
      </c>
      <c r="K219" s="573">
        <f t="shared" si="11"/>
        <v>2.252769477116926</v>
      </c>
      <c r="L219" s="616"/>
    </row>
    <row r="220" spans="2:12" s="99" customFormat="1" ht="15" customHeight="1" hidden="1">
      <c r="B220" s="112" t="s">
        <v>643</v>
      </c>
      <c r="C220" s="817">
        <f>D220+G220</f>
        <v>0.01301786702248836</v>
      </c>
      <c r="D220" s="816">
        <f>D120/'表2人口動態'!R48*1000</f>
        <v>0.1605536932773565</v>
      </c>
      <c r="E220" s="816">
        <f>E120/'表2人口動態'!R48*1000</f>
        <v>2.0199390329894444</v>
      </c>
      <c r="F220" s="816">
        <f>F120/'表2人口動態'!R48*1000</f>
        <v>1.859385339712088</v>
      </c>
      <c r="G220" s="816">
        <f>G120/'表2人口動態'!R48*1000</f>
        <v>-0.14753582625486814</v>
      </c>
      <c r="H220" s="816">
        <f>H120/'表2人口動態'!R48*1000</f>
        <v>12.265000379687788</v>
      </c>
      <c r="I220" s="816">
        <f>I120/'表2人口動態'!R48*1000</f>
        <v>12.412536205942658</v>
      </c>
      <c r="J220" s="816">
        <f>J120/'表2人口動態'!R48*1000</f>
        <v>1.345179592323798</v>
      </c>
      <c r="K220" s="816">
        <f>K120/'表2人口動態'!R48*1000</f>
        <v>0.5532593484557555</v>
      </c>
      <c r="L220" s="616"/>
    </row>
    <row r="221" spans="2:12" s="99" customFormat="1" ht="15" customHeight="1" hidden="1">
      <c r="B221" s="122" t="s">
        <v>1333</v>
      </c>
      <c r="C221" s="817"/>
      <c r="D221" s="816"/>
      <c r="E221" s="816"/>
      <c r="F221" s="816"/>
      <c r="G221" s="816"/>
      <c r="H221" s="816"/>
      <c r="I221" s="816"/>
      <c r="J221" s="816"/>
      <c r="K221" s="816"/>
      <c r="L221" s="616"/>
    </row>
    <row r="222" spans="2:12" s="99" customFormat="1" ht="15" customHeight="1" hidden="1">
      <c r="B222" s="112" t="s">
        <v>644</v>
      </c>
      <c r="C222" s="817">
        <f>D222+G222</f>
        <v>1.199086265908763</v>
      </c>
      <c r="D222" s="816">
        <f>D122/'表2人口動態'!R49*1000</f>
        <v>-0.10624815014381446</v>
      </c>
      <c r="E222" s="816">
        <f>E122/'表2人口動態'!R49*1000</f>
        <v>1.71081205027489</v>
      </c>
      <c r="F222" s="816">
        <f>F122/'表2人口動態'!R49*1000</f>
        <v>1.8170602004187046</v>
      </c>
      <c r="G222" s="816">
        <f>G122/'表2人口動態'!R49*1000</f>
        <v>1.3053344160525775</v>
      </c>
      <c r="H222" s="816">
        <f>H122/'表2人口動態'!R49*1000</f>
        <v>17.09727885477504</v>
      </c>
      <c r="I222" s="816">
        <f>I122/'表2人口動態'!R49*1000</f>
        <v>15.791944438722464</v>
      </c>
      <c r="J222" s="816">
        <f>J122/'表2人口動態'!R49*1000</f>
        <v>1.08199646779109</v>
      </c>
      <c r="K222" s="816">
        <f>K122/'表2人口動態'!R49*1000</f>
        <v>0.572439013019735</v>
      </c>
      <c r="L222" s="616"/>
    </row>
    <row r="223" spans="2:12" s="99" customFormat="1" ht="15" customHeight="1" hidden="1">
      <c r="B223" s="122" t="s">
        <v>1334</v>
      </c>
      <c r="C223" s="817"/>
      <c r="D223" s="816"/>
      <c r="E223" s="816"/>
      <c r="F223" s="816"/>
      <c r="G223" s="816"/>
      <c r="H223" s="816"/>
      <c r="I223" s="816"/>
      <c r="J223" s="816"/>
      <c r="K223" s="816"/>
      <c r="L223" s="616"/>
    </row>
    <row r="224" spans="2:13" s="99" customFormat="1" ht="15" customHeight="1" hidden="1">
      <c r="B224" s="112" t="s">
        <v>645</v>
      </c>
      <c r="C224" s="817">
        <f>D224+G224</f>
        <v>-0.5592501712432695</v>
      </c>
      <c r="D224" s="816">
        <f>D124/'表2人口動態'!R50*1000</f>
        <v>0.2969661762028214</v>
      </c>
      <c r="E224" s="816">
        <f>E124/'表2人口動態'!R50*1000</f>
        <v>1.94870505406085</v>
      </c>
      <c r="F224" s="816">
        <f>F124/'表2人口動態'!R50*1000</f>
        <v>1.6517388778580284</v>
      </c>
      <c r="G224" s="816">
        <f>G124/'表2人口動態'!R50*1000</f>
        <v>-0.8562163474460909</v>
      </c>
      <c r="H224" s="816">
        <f>H124/'表2人口動態'!R50*1000</f>
        <v>16.075190968760026</v>
      </c>
      <c r="I224" s="816">
        <f>I124/'表2人口動態'!R50*1000</f>
        <v>16.931407316206116</v>
      </c>
      <c r="J224" s="816">
        <f>J124/'表2人口動態'!R50*1000</f>
        <v>0.8432105295102009</v>
      </c>
      <c r="K224" s="816">
        <f>K124/'表2人口動態'!R50*1000</f>
        <v>0.5657530802112145</v>
      </c>
      <c r="L224" s="616"/>
      <c r="M224" s="617"/>
    </row>
    <row r="225" spans="2:13" s="99" customFormat="1" ht="15" customHeight="1" hidden="1">
      <c r="B225" s="122" t="s">
        <v>1335</v>
      </c>
      <c r="C225" s="817"/>
      <c r="D225" s="816"/>
      <c r="E225" s="816"/>
      <c r="F225" s="816"/>
      <c r="G225" s="816"/>
      <c r="H225" s="816"/>
      <c r="I225" s="816"/>
      <c r="J225" s="816"/>
      <c r="K225" s="816"/>
      <c r="L225" s="616"/>
      <c r="M225" s="617"/>
    </row>
    <row r="226" spans="2:12" s="99" customFormat="1" ht="15" customHeight="1">
      <c r="B226" s="112" t="s">
        <v>646</v>
      </c>
      <c r="C226" s="817">
        <f>D226+G226</f>
        <v>0.9145799650639121</v>
      </c>
      <c r="D226" s="816">
        <f>D126/'表2人口動態'!R51*1000</f>
        <v>0.3771016917562103</v>
      </c>
      <c r="E226" s="816">
        <f>E126/'表2人口動態'!R51*1000</f>
        <v>2.206261621884035</v>
      </c>
      <c r="F226" s="816">
        <f>F126/'表2人口動態'!R51*1000</f>
        <v>1.8291599301278245</v>
      </c>
      <c r="G226" s="816">
        <f>G126/'表2人口動態'!R51*1000</f>
        <v>0.5374782733077019</v>
      </c>
      <c r="H226" s="816">
        <f>H126/'表2人口動態'!R51*1000</f>
        <v>11.081154884767258</v>
      </c>
      <c r="I226" s="816">
        <f>I126/'表2人口動態'!R51*1000</f>
        <v>10.543676611459556</v>
      </c>
      <c r="J226" s="816">
        <f>J126/'表2人口動態'!R51*1000</f>
        <v>1.4065459652286234</v>
      </c>
      <c r="K226" s="816">
        <f>K126/'表2人口動態'!R51*1000</f>
        <v>0.5613180354302211</v>
      </c>
      <c r="L226" s="616"/>
    </row>
    <row r="227" spans="2:12" s="99" customFormat="1" ht="15" customHeight="1">
      <c r="B227" s="122" t="s">
        <v>1336</v>
      </c>
      <c r="C227" s="817"/>
      <c r="D227" s="816"/>
      <c r="E227" s="816"/>
      <c r="F227" s="816"/>
      <c r="G227" s="816"/>
      <c r="H227" s="816"/>
      <c r="I227" s="816"/>
      <c r="J227" s="816"/>
      <c r="K227" s="816"/>
      <c r="L227" s="616"/>
    </row>
    <row r="228" spans="2:11" s="99" customFormat="1" ht="29.25" customHeight="1">
      <c r="B228" s="112" t="s">
        <v>720</v>
      </c>
      <c r="C228" s="179"/>
      <c r="D228" s="161"/>
      <c r="E228" s="161"/>
      <c r="F228" s="161"/>
      <c r="G228" s="161"/>
      <c r="H228" s="161"/>
      <c r="I228" s="161"/>
      <c r="J228" s="161"/>
      <c r="K228" s="161"/>
    </row>
    <row r="229" spans="2:11" s="610" customFormat="1" ht="15" customHeight="1">
      <c r="B229" s="580" t="s">
        <v>655</v>
      </c>
      <c r="C229" s="823">
        <f>D229+G229</f>
        <v>0.34221059380035695</v>
      </c>
      <c r="D229" s="825">
        <f>D129/'表2人口動態'!R53*1000</f>
        <v>-0.028156567844333166</v>
      </c>
      <c r="E229" s="825">
        <f>E129/'表2人口動態'!R53*1000</f>
        <v>1.8648311472285273</v>
      </c>
      <c r="F229" s="825">
        <f>F129/'表2人口動態'!R53*1000</f>
        <v>1.8929877150728607</v>
      </c>
      <c r="G229" s="825">
        <f>G129/'表2人口動態'!R53*1000</f>
        <v>0.37036716164469013</v>
      </c>
      <c r="H229" s="825">
        <f>H129/'表2人口動態'!R53*1000</f>
        <v>12.423544088853465</v>
      </c>
      <c r="I229" s="825">
        <f>I129/'表2人口動態'!R53*1000</f>
        <v>12.053176927208774</v>
      </c>
      <c r="J229" s="825">
        <f>J129/'表2人口動態'!R53*1000</f>
        <v>1.3320222480203767</v>
      </c>
      <c r="K229" s="825">
        <f>K129/'表2人口動態'!R53*1000</f>
        <v>0.4808275431878433</v>
      </c>
    </row>
    <row r="230" spans="2:11" s="610" customFormat="1" ht="15" customHeight="1">
      <c r="B230" s="583" t="s">
        <v>1333</v>
      </c>
      <c r="C230" s="823"/>
      <c r="D230" s="825"/>
      <c r="E230" s="825"/>
      <c r="F230" s="825"/>
      <c r="G230" s="825"/>
      <c r="H230" s="825"/>
      <c r="I230" s="825"/>
      <c r="J230" s="825"/>
      <c r="K230" s="825"/>
    </row>
    <row r="231" spans="2:11" s="670" customFormat="1" ht="15" customHeight="1">
      <c r="B231" s="666" t="s">
        <v>644</v>
      </c>
      <c r="C231" s="804">
        <f>D231+G231</f>
        <v>-2.5564107039669897</v>
      </c>
      <c r="D231" s="895">
        <f>D131/'表2人口動態'!R54*1000</f>
        <v>-0.0693851929829887</v>
      </c>
      <c r="E231" s="895">
        <f>E131/'表2人口動態'!R54*1000</f>
        <v>1.7237883881711256</v>
      </c>
      <c r="F231" s="895">
        <f>F131/'表2人口動態'!R54*1000</f>
        <v>1.7931735811541143</v>
      </c>
      <c r="G231" s="895">
        <f>G131/'表2人口動態'!R54*1000</f>
        <v>-2.487025510984001</v>
      </c>
      <c r="H231" s="895">
        <f>H131/'表2人口動態'!R54*1000</f>
        <v>10.65713198473092</v>
      </c>
      <c r="I231" s="895">
        <f>I131/'表2人口動態'!R54*1000</f>
        <v>13.144157495714921</v>
      </c>
      <c r="J231" s="895">
        <f>J131/'表2人口動態'!R54*1000</f>
        <v>1.4570890526427627</v>
      </c>
      <c r="K231" s="895">
        <f>K131/'表2人口動態'!R54*1000</f>
        <v>0.5941107149168408</v>
      </c>
    </row>
    <row r="232" spans="2:11" s="670" customFormat="1" ht="15" customHeight="1">
      <c r="B232" s="667" t="s">
        <v>1334</v>
      </c>
      <c r="C232" s="804"/>
      <c r="D232" s="895"/>
      <c r="E232" s="895"/>
      <c r="F232" s="895"/>
      <c r="G232" s="895"/>
      <c r="H232" s="895"/>
      <c r="I232" s="895"/>
      <c r="J232" s="895"/>
      <c r="K232" s="895"/>
    </row>
    <row r="233" spans="2:11" s="670" customFormat="1" ht="15" customHeight="1">
      <c r="B233" s="112" t="s">
        <v>645</v>
      </c>
      <c r="C233" s="823">
        <f>D233+G233</f>
        <v>0.16281642014451586</v>
      </c>
      <c r="D233" s="831">
        <f>D133/'表2人口動態'!R55*1000</f>
        <v>0.13676579292139332</v>
      </c>
      <c r="E233" s="831">
        <f>E133/'表2人口動態'!R55*1000</f>
        <v>1.8973540160840916</v>
      </c>
      <c r="F233" s="831">
        <f>F133/'表2人口動態'!R55*1000</f>
        <v>1.7605882231626981</v>
      </c>
      <c r="G233" s="831">
        <f>G133/'表2人口動態'!R55*1000</f>
        <v>0.026050627223122538</v>
      </c>
      <c r="H233" s="831">
        <f>H133/'表2人口動態'!R55*1000</f>
        <v>13.995699475622583</v>
      </c>
      <c r="I233" s="831">
        <f>I133/'表2人口動態'!R55*1000</f>
        <v>13.96964884839946</v>
      </c>
      <c r="J233" s="831">
        <f>J133/'表2人口動態'!R55*1000</f>
        <v>1.2721389627291504</v>
      </c>
      <c r="K233" s="831">
        <f>K133/'表2人口動態'!R55*1000</f>
        <v>0.6577783373838441</v>
      </c>
    </row>
    <row r="234" spans="2:11" s="670" customFormat="1" ht="15" customHeight="1">
      <c r="B234" s="122" t="s">
        <v>1335</v>
      </c>
      <c r="C234" s="823"/>
      <c r="D234" s="831"/>
      <c r="E234" s="831"/>
      <c r="F234" s="831"/>
      <c r="G234" s="831"/>
      <c r="H234" s="831"/>
      <c r="I234" s="831"/>
      <c r="J234" s="831"/>
      <c r="K234" s="831"/>
    </row>
    <row r="235" spans="2:11" s="670" customFormat="1" ht="15" customHeight="1">
      <c r="B235" s="112" t="s">
        <v>646</v>
      </c>
      <c r="C235" s="804">
        <f>D235+G235</f>
        <v>-0.4190345920654823</v>
      </c>
      <c r="D235" s="895">
        <f>D135/'表2人口動態'!R56*1000</f>
        <v>0.13461214874642438</v>
      </c>
      <c r="E235" s="895">
        <f>E135/'表2人口動態'!R56*1000</f>
        <v>1.9931282669228638</v>
      </c>
      <c r="F235" s="895">
        <f>F135/'表2人口動態'!R56*1000</f>
        <v>1.8585161181764398</v>
      </c>
      <c r="G235" s="895">
        <f>G135/'表2人口動態'!R56*1000</f>
        <v>-0.5536467408119067</v>
      </c>
      <c r="H235" s="895">
        <f>H135/'表2人口動態'!R56*1000</f>
        <v>9.720299837705515</v>
      </c>
      <c r="I235" s="895">
        <f>I135/'表2人口動態'!R56*1000</f>
        <v>10.273946578517421</v>
      </c>
      <c r="J235" s="895">
        <f>J135/'表2人口動態'!R56*1000</f>
        <v>1.500274109415794</v>
      </c>
      <c r="K235" s="895">
        <f>K135/'表2人口動態'!R56*1000</f>
        <v>0.6339797973218696</v>
      </c>
    </row>
    <row r="236" spans="2:11" s="670" customFormat="1" ht="15" customHeight="1" thickBot="1">
      <c r="B236" s="123" t="s">
        <v>1336</v>
      </c>
      <c r="C236" s="807"/>
      <c r="D236" s="837"/>
      <c r="E236" s="837"/>
      <c r="F236" s="837"/>
      <c r="G236" s="837"/>
      <c r="H236" s="837"/>
      <c r="I236" s="837"/>
      <c r="J236" s="837"/>
      <c r="K236" s="837"/>
    </row>
    <row r="237" spans="2:11" ht="19.5" customHeight="1">
      <c r="B237" s="113" t="s">
        <v>721</v>
      </c>
      <c r="G237" s="99"/>
      <c r="H237" s="99"/>
      <c r="K237" s="99"/>
    </row>
    <row r="238" spans="2:3" ht="19.5" customHeight="1">
      <c r="B238" s="116" t="s">
        <v>533</v>
      </c>
      <c r="C238" s="99"/>
    </row>
    <row r="239" spans="2:3" ht="19.5" customHeight="1">
      <c r="B239" s="114"/>
      <c r="C239" s="99"/>
    </row>
    <row r="240" spans="2:3" ht="19.5" customHeight="1">
      <c r="B240" s="114"/>
      <c r="C240" s="99"/>
    </row>
    <row r="241" spans="1:12" ht="58.5" customHeight="1">
      <c r="A241" s="899" t="s">
        <v>534</v>
      </c>
      <c r="B241" s="899"/>
      <c r="C241" s="899"/>
      <c r="D241" s="899"/>
      <c r="E241" s="899"/>
      <c r="F241" s="899"/>
      <c r="G241" s="899"/>
      <c r="H241" s="899"/>
      <c r="I241" s="899"/>
      <c r="J241" s="899"/>
      <c r="K241" s="899"/>
      <c r="L241" s="899"/>
    </row>
  </sheetData>
  <mergeCells count="609">
    <mergeCell ref="K135:K1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G135:G136"/>
    <mergeCell ref="H135:H136"/>
    <mergeCell ref="I135:I136"/>
    <mergeCell ref="J135:J136"/>
    <mergeCell ref="C135:C136"/>
    <mergeCell ref="D135:D136"/>
    <mergeCell ref="E135:E136"/>
    <mergeCell ref="F135:F136"/>
    <mergeCell ref="K131:K1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G131:G132"/>
    <mergeCell ref="H131:H132"/>
    <mergeCell ref="I131:I132"/>
    <mergeCell ref="J131:J132"/>
    <mergeCell ref="C131:C132"/>
    <mergeCell ref="D131:D132"/>
    <mergeCell ref="E131:E132"/>
    <mergeCell ref="F131:F132"/>
    <mergeCell ref="K224:K225"/>
    <mergeCell ref="G224:G225"/>
    <mergeCell ref="H224:H225"/>
    <mergeCell ref="I224:I225"/>
    <mergeCell ref="J224:J225"/>
    <mergeCell ref="C224:C225"/>
    <mergeCell ref="D224:D225"/>
    <mergeCell ref="E224:E225"/>
    <mergeCell ref="F224:F225"/>
    <mergeCell ref="D126:D127"/>
    <mergeCell ref="C126:C127"/>
    <mergeCell ref="H126:H127"/>
    <mergeCell ref="G126:G127"/>
    <mergeCell ref="F126:F127"/>
    <mergeCell ref="E126:E127"/>
    <mergeCell ref="K122:K123"/>
    <mergeCell ref="K126:K127"/>
    <mergeCell ref="J126:J127"/>
    <mergeCell ref="I126:I127"/>
    <mergeCell ref="K124:K125"/>
    <mergeCell ref="J120:J121"/>
    <mergeCell ref="K120:K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J115:J116"/>
    <mergeCell ref="K115:K116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H115:H116"/>
    <mergeCell ref="I115:I116"/>
    <mergeCell ref="C117:C118"/>
    <mergeCell ref="C120:C121"/>
    <mergeCell ref="D120:D121"/>
    <mergeCell ref="E120:E121"/>
    <mergeCell ref="F120:F121"/>
    <mergeCell ref="G120:G121"/>
    <mergeCell ref="H120:H121"/>
    <mergeCell ref="I120:I121"/>
    <mergeCell ref="A43:L43"/>
    <mergeCell ref="A141:L141"/>
    <mergeCell ref="A241:L241"/>
    <mergeCell ref="A44:L44"/>
    <mergeCell ref="A45:L45"/>
    <mergeCell ref="C115:C116"/>
    <mergeCell ref="D115:D116"/>
    <mergeCell ref="E115:E116"/>
    <mergeCell ref="F115:F116"/>
    <mergeCell ref="G115:G116"/>
    <mergeCell ref="K222:K223"/>
    <mergeCell ref="G222:G223"/>
    <mergeCell ref="H222:H223"/>
    <mergeCell ref="I222:I223"/>
    <mergeCell ref="J222:J223"/>
    <mergeCell ref="C222:C223"/>
    <mergeCell ref="D222:D223"/>
    <mergeCell ref="E222:E223"/>
    <mergeCell ref="F222:F223"/>
    <mergeCell ref="K220:K221"/>
    <mergeCell ref="G220:G221"/>
    <mergeCell ref="H220:H221"/>
    <mergeCell ref="I220:I221"/>
    <mergeCell ref="J220:J221"/>
    <mergeCell ref="C220:C221"/>
    <mergeCell ref="D220:D221"/>
    <mergeCell ref="E220:E221"/>
    <mergeCell ref="F220:F221"/>
    <mergeCell ref="K217:K218"/>
    <mergeCell ref="G217:G218"/>
    <mergeCell ref="H217:H218"/>
    <mergeCell ref="I217:I218"/>
    <mergeCell ref="J217:J218"/>
    <mergeCell ref="C217:C218"/>
    <mergeCell ref="D217:D218"/>
    <mergeCell ref="E217:E218"/>
    <mergeCell ref="F217:F218"/>
    <mergeCell ref="K208:K209"/>
    <mergeCell ref="C211:C212"/>
    <mergeCell ref="D211:D212"/>
    <mergeCell ref="E211:E212"/>
    <mergeCell ref="F211:F212"/>
    <mergeCell ref="K211:K212"/>
    <mergeCell ref="G211:G212"/>
    <mergeCell ref="H211:H212"/>
    <mergeCell ref="I211:I212"/>
    <mergeCell ref="J211:J212"/>
    <mergeCell ref="J108:J109"/>
    <mergeCell ref="K108:K1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F108:F109"/>
    <mergeCell ref="G108:G109"/>
    <mergeCell ref="H108:H109"/>
    <mergeCell ref="I108:I109"/>
    <mergeCell ref="K106:K1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G106:G107"/>
    <mergeCell ref="H106:H107"/>
    <mergeCell ref="I106:I107"/>
    <mergeCell ref="J106:J107"/>
    <mergeCell ref="C213:C214"/>
    <mergeCell ref="C106:C107"/>
    <mergeCell ref="D106:D107"/>
    <mergeCell ref="E106:E107"/>
    <mergeCell ref="C108:C109"/>
    <mergeCell ref="D108:D109"/>
    <mergeCell ref="E108:E109"/>
    <mergeCell ref="C186:C187"/>
    <mergeCell ref="D186:D187"/>
    <mergeCell ref="E186:E187"/>
    <mergeCell ref="K93:K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F106:F107"/>
    <mergeCell ref="K193:K194"/>
    <mergeCell ref="G93:G94"/>
    <mergeCell ref="H93:H94"/>
    <mergeCell ref="I93:I94"/>
    <mergeCell ref="J93:J94"/>
    <mergeCell ref="K186:K187"/>
    <mergeCell ref="G186:G187"/>
    <mergeCell ref="H186:H187"/>
    <mergeCell ref="I186:I187"/>
    <mergeCell ref="J186:J187"/>
    <mergeCell ref="C93:C94"/>
    <mergeCell ref="D93:D94"/>
    <mergeCell ref="E93:E94"/>
    <mergeCell ref="F93:F94"/>
    <mergeCell ref="K88:K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G88:G89"/>
    <mergeCell ref="H88:H89"/>
    <mergeCell ref="I88:I89"/>
    <mergeCell ref="J88:J89"/>
    <mergeCell ref="C88:C89"/>
    <mergeCell ref="D88:D89"/>
    <mergeCell ref="E88:E89"/>
    <mergeCell ref="F88:F89"/>
    <mergeCell ref="F186:F187"/>
    <mergeCell ref="K86:K87"/>
    <mergeCell ref="G86:G87"/>
    <mergeCell ref="H86:H87"/>
    <mergeCell ref="I86:I87"/>
    <mergeCell ref="J86:J87"/>
    <mergeCell ref="K146:K149"/>
    <mergeCell ref="H148:H149"/>
    <mergeCell ref="I148:I149"/>
    <mergeCell ref="G146:G147"/>
    <mergeCell ref="C86:C87"/>
    <mergeCell ref="D86:D87"/>
    <mergeCell ref="E86:E87"/>
    <mergeCell ref="F86:F87"/>
    <mergeCell ref="K84:K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G84:G85"/>
    <mergeCell ref="H84:H85"/>
    <mergeCell ref="I84:I85"/>
    <mergeCell ref="J84:J85"/>
    <mergeCell ref="C84:C85"/>
    <mergeCell ref="D84:D85"/>
    <mergeCell ref="E84:E85"/>
    <mergeCell ref="F84:F85"/>
    <mergeCell ref="K79:K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J72:J73"/>
    <mergeCell ref="K72:K73"/>
    <mergeCell ref="C79:C80"/>
    <mergeCell ref="D79:D80"/>
    <mergeCell ref="E79:E80"/>
    <mergeCell ref="F79:F80"/>
    <mergeCell ref="G79:G80"/>
    <mergeCell ref="H79:H80"/>
    <mergeCell ref="I79:I80"/>
    <mergeCell ref="J79:J80"/>
    <mergeCell ref="F72:F73"/>
    <mergeCell ref="G72:G73"/>
    <mergeCell ref="H72:H73"/>
    <mergeCell ref="I72:I73"/>
    <mergeCell ref="H70:H71"/>
    <mergeCell ref="I70:I71"/>
    <mergeCell ref="J70:J71"/>
    <mergeCell ref="K70:K71"/>
    <mergeCell ref="F148:F149"/>
    <mergeCell ref="G148:G149"/>
    <mergeCell ref="C70:C71"/>
    <mergeCell ref="D70:D71"/>
    <mergeCell ref="E70:E71"/>
    <mergeCell ref="F70:F71"/>
    <mergeCell ref="G70:G71"/>
    <mergeCell ref="C72:C73"/>
    <mergeCell ref="D72:D73"/>
    <mergeCell ref="E72:E73"/>
    <mergeCell ref="H146:H147"/>
    <mergeCell ref="I146:I147"/>
    <mergeCell ref="J146:J149"/>
    <mergeCell ref="B146:B149"/>
    <mergeCell ref="C146:C149"/>
    <mergeCell ref="D146:D147"/>
    <mergeCell ref="E146:E147"/>
    <mergeCell ref="F146:F147"/>
    <mergeCell ref="D148:D149"/>
    <mergeCell ref="E148:E149"/>
    <mergeCell ref="B144:B145"/>
    <mergeCell ref="C144:C145"/>
    <mergeCell ref="D145:F145"/>
    <mergeCell ref="G145:I145"/>
    <mergeCell ref="D144:F144"/>
    <mergeCell ref="G144:I144"/>
    <mergeCell ref="B46:B47"/>
    <mergeCell ref="B48:B51"/>
    <mergeCell ref="G47:I47"/>
    <mergeCell ref="F50:F51"/>
    <mergeCell ref="J48:J51"/>
    <mergeCell ref="K48:K51"/>
    <mergeCell ref="D48:D49"/>
    <mergeCell ref="E48:E49"/>
    <mergeCell ref="F48:F49"/>
    <mergeCell ref="G48:G49"/>
    <mergeCell ref="H48:H49"/>
    <mergeCell ref="I48:I49"/>
    <mergeCell ref="D50:D51"/>
    <mergeCell ref="I50:I51"/>
    <mergeCell ref="A1:L1"/>
    <mergeCell ref="C48:C51"/>
    <mergeCell ref="B2:K2"/>
    <mergeCell ref="D46:F46"/>
    <mergeCell ref="G46:I46"/>
    <mergeCell ref="C46:C47"/>
    <mergeCell ref="D47:F47"/>
    <mergeCell ref="E50:E51"/>
    <mergeCell ref="G50:G51"/>
    <mergeCell ref="H50:H51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J172:J173"/>
    <mergeCell ref="C172:C173"/>
    <mergeCell ref="D172:D173"/>
    <mergeCell ref="E172:E173"/>
    <mergeCell ref="F172:F173"/>
    <mergeCell ref="C175:C176"/>
    <mergeCell ref="D175:D176"/>
    <mergeCell ref="E175:E176"/>
    <mergeCell ref="F175:F176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C99:C100"/>
    <mergeCell ref="D99:D100"/>
    <mergeCell ref="E99:E100"/>
    <mergeCell ref="F99:F100"/>
    <mergeCell ref="K199:K200"/>
    <mergeCell ref="G99:G100"/>
    <mergeCell ref="H99:H100"/>
    <mergeCell ref="I99:I100"/>
    <mergeCell ref="J99:J100"/>
    <mergeCell ref="K172:K173"/>
    <mergeCell ref="G175:G176"/>
    <mergeCell ref="H175:H176"/>
    <mergeCell ref="I175:I176"/>
    <mergeCell ref="J175:J176"/>
    <mergeCell ref="G199:G200"/>
    <mergeCell ref="H199:H200"/>
    <mergeCell ref="I199:I200"/>
    <mergeCell ref="J199:J200"/>
    <mergeCell ref="C199:C200"/>
    <mergeCell ref="D199:D200"/>
    <mergeCell ref="E199:E200"/>
    <mergeCell ref="F199:F200"/>
    <mergeCell ref="C97:C98"/>
    <mergeCell ref="D97:D98"/>
    <mergeCell ref="E97:E98"/>
    <mergeCell ref="F97:F98"/>
    <mergeCell ref="K197:K198"/>
    <mergeCell ref="G97:G98"/>
    <mergeCell ref="H97:H98"/>
    <mergeCell ref="I97:I98"/>
    <mergeCell ref="J97:J98"/>
    <mergeCell ref="K99:K100"/>
    <mergeCell ref="K175:K176"/>
    <mergeCell ref="G172:G173"/>
    <mergeCell ref="H172:H173"/>
    <mergeCell ref="I172:I173"/>
    <mergeCell ref="F104:F105"/>
    <mergeCell ref="K97:K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G104:G105"/>
    <mergeCell ref="H104:H105"/>
    <mergeCell ref="I104:I105"/>
    <mergeCell ref="J104:J105"/>
    <mergeCell ref="K104:K1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K102:K1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G102:G103"/>
    <mergeCell ref="H102:H103"/>
    <mergeCell ref="I102:I103"/>
    <mergeCell ref="J102:J103"/>
    <mergeCell ref="D213:D214"/>
    <mergeCell ref="E213:E214"/>
    <mergeCell ref="F213:F214"/>
    <mergeCell ref="C102:C103"/>
    <mergeCell ref="D102:D103"/>
    <mergeCell ref="E102:E103"/>
    <mergeCell ref="F102:F103"/>
    <mergeCell ref="C104:C105"/>
    <mergeCell ref="D104:D105"/>
    <mergeCell ref="E104:E105"/>
    <mergeCell ref="G213:G214"/>
    <mergeCell ref="H213:H214"/>
    <mergeCell ref="I213:I214"/>
    <mergeCell ref="J213:J214"/>
    <mergeCell ref="C226:C227"/>
    <mergeCell ref="K213:K214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C215:C216"/>
    <mergeCell ref="D215:D216"/>
    <mergeCell ref="E215:E216"/>
    <mergeCell ref="F215:F216"/>
    <mergeCell ref="K215:K216"/>
    <mergeCell ref="G215:G216"/>
    <mergeCell ref="H215:H216"/>
    <mergeCell ref="I215:I216"/>
    <mergeCell ref="J215:J216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SheetLayoutView="100" workbookViewId="0" topLeftCell="A1">
      <selection activeCell="O96" sqref="O96"/>
    </sheetView>
  </sheetViews>
  <sheetFormatPr defaultColWidth="9.00390625" defaultRowHeight="16.5"/>
  <cols>
    <col min="1" max="1" width="2.625" style="3" customWidth="1"/>
    <col min="2" max="4" width="8.625" style="3" customWidth="1"/>
    <col min="5" max="8" width="8.625" style="225" customWidth="1"/>
    <col min="9" max="9" width="9.375" style="3" customWidth="1"/>
    <col min="10" max="10" width="8.625" style="3" customWidth="1"/>
    <col min="11" max="11" width="9.25390625" style="3" customWidth="1"/>
    <col min="12" max="12" width="2.625" style="3" customWidth="1"/>
    <col min="13" max="16384" width="9.00390625" style="3" customWidth="1"/>
  </cols>
  <sheetData>
    <row r="1" spans="1:12" s="72" customFormat="1" ht="49.5" customHeight="1">
      <c r="A1" s="776" t="s">
        <v>743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2" ht="85.5" customHeight="1">
      <c r="B2" s="774" t="s">
        <v>744</v>
      </c>
      <c r="C2" s="775"/>
      <c r="D2" s="775"/>
      <c r="E2" s="775"/>
      <c r="F2" s="775"/>
      <c r="G2" s="775"/>
      <c r="H2" s="775"/>
      <c r="I2" s="775"/>
      <c r="J2" s="775"/>
      <c r="K2" s="775"/>
      <c r="L2" s="173"/>
    </row>
    <row r="3" spans="1:12" ht="24.75" customHeight="1">
      <c r="A3" s="897" t="s">
        <v>745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</row>
    <row r="4" spans="1:12" ht="24.75" customHeight="1">
      <c r="A4" s="898" t="s">
        <v>843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</row>
    <row r="5" spans="1:12" ht="19.5" customHeight="1" thickBot="1">
      <c r="A5" s="766" t="s">
        <v>535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</row>
    <row r="6" spans="2:11" ht="16.5" customHeight="1">
      <c r="B6" s="860" t="s">
        <v>844</v>
      </c>
      <c r="C6" s="105" t="s">
        <v>845</v>
      </c>
      <c r="D6" s="867" t="s">
        <v>846</v>
      </c>
      <c r="E6" s="778" t="s">
        <v>536</v>
      </c>
      <c r="F6" s="780" t="s">
        <v>525</v>
      </c>
      <c r="G6" s="759"/>
      <c r="H6" s="760"/>
      <c r="I6" s="867" t="s">
        <v>847</v>
      </c>
      <c r="J6" s="867" t="s">
        <v>848</v>
      </c>
      <c r="K6" s="106" t="s">
        <v>849</v>
      </c>
    </row>
    <row r="7" spans="2:11" ht="16.5" customHeight="1">
      <c r="B7" s="861"/>
      <c r="C7" s="107" t="s">
        <v>1330</v>
      </c>
      <c r="D7" s="868"/>
      <c r="E7" s="779"/>
      <c r="F7" s="761" t="s">
        <v>518</v>
      </c>
      <c r="G7" s="762"/>
      <c r="H7" s="763"/>
      <c r="I7" s="868"/>
      <c r="J7" s="868"/>
      <c r="K7" s="109" t="s">
        <v>1331</v>
      </c>
    </row>
    <row r="8" spans="2:12" ht="16.5" customHeight="1">
      <c r="B8" s="861"/>
      <c r="C8" s="118" t="s">
        <v>601</v>
      </c>
      <c r="D8" s="868"/>
      <c r="E8" s="779"/>
      <c r="F8" s="764" t="s">
        <v>537</v>
      </c>
      <c r="G8" s="770" t="s">
        <v>538</v>
      </c>
      <c r="H8" s="770" t="s">
        <v>539</v>
      </c>
      <c r="I8" s="848" t="s">
        <v>606</v>
      </c>
      <c r="J8" s="195" t="s">
        <v>608</v>
      </c>
      <c r="K8" s="195" t="s">
        <v>610</v>
      </c>
      <c r="L8" s="99"/>
    </row>
    <row r="9" spans="2:11" ht="16.5" customHeight="1">
      <c r="B9" s="874" t="s">
        <v>850</v>
      </c>
      <c r="C9" s="862" t="s">
        <v>613</v>
      </c>
      <c r="D9" s="865" t="s">
        <v>519</v>
      </c>
      <c r="E9" s="772" t="s">
        <v>520</v>
      </c>
      <c r="F9" s="779"/>
      <c r="G9" s="771"/>
      <c r="H9" s="771"/>
      <c r="I9" s="841"/>
      <c r="J9" s="865" t="s">
        <v>521</v>
      </c>
      <c r="K9" s="846" t="s">
        <v>618</v>
      </c>
    </row>
    <row r="10" spans="2:12" ht="16.5" customHeight="1">
      <c r="B10" s="874"/>
      <c r="C10" s="863"/>
      <c r="D10" s="865"/>
      <c r="E10" s="772"/>
      <c r="F10" s="767" t="s">
        <v>1332</v>
      </c>
      <c r="G10" s="767" t="s">
        <v>522</v>
      </c>
      <c r="H10" s="767" t="s">
        <v>523</v>
      </c>
      <c r="I10" s="865" t="s">
        <v>524</v>
      </c>
      <c r="J10" s="865"/>
      <c r="K10" s="846"/>
      <c r="L10" s="99"/>
    </row>
    <row r="11" spans="2:12" ht="22.5" customHeight="1" thickBot="1">
      <c r="B11" s="875"/>
      <c r="C11" s="864"/>
      <c r="D11" s="866"/>
      <c r="E11" s="773"/>
      <c r="F11" s="768"/>
      <c r="G11" s="769"/>
      <c r="H11" s="769"/>
      <c r="I11" s="855"/>
      <c r="J11" s="855"/>
      <c r="K11" s="847"/>
      <c r="L11" s="99"/>
    </row>
    <row r="12" spans="2:11" ht="15" customHeight="1">
      <c r="B12" s="119" t="s">
        <v>537</v>
      </c>
      <c r="C12" s="788">
        <v>2143.6251</v>
      </c>
      <c r="D12" s="784">
        <f>SUM(D14:D20,D22:D28,D30:D36)</f>
        <v>235</v>
      </c>
      <c r="E12" s="781">
        <v>154021</v>
      </c>
      <c r="F12" s="781">
        <v>460486</v>
      </c>
      <c r="G12" s="781">
        <v>234682</v>
      </c>
      <c r="H12" s="781">
        <v>225804</v>
      </c>
      <c r="I12" s="880">
        <f>(G12/H12)*100</f>
        <v>103.93172840162264</v>
      </c>
      <c r="J12" s="880">
        <f>(F12/E12)</f>
        <v>2.989761136468404</v>
      </c>
      <c r="K12" s="782">
        <f>(F12/C12)</f>
        <v>214.81648073630038</v>
      </c>
    </row>
    <row r="13" spans="2:11" ht="21" customHeight="1">
      <c r="B13" s="119" t="s">
        <v>1141</v>
      </c>
      <c r="C13" s="786"/>
      <c r="D13" s="785"/>
      <c r="E13" s="833"/>
      <c r="F13" s="833"/>
      <c r="G13" s="833"/>
      <c r="H13" s="833"/>
      <c r="I13" s="880"/>
      <c r="J13" s="880"/>
      <c r="K13" s="783"/>
    </row>
    <row r="14" spans="2:11" ht="15" customHeight="1">
      <c r="B14" s="119" t="s">
        <v>851</v>
      </c>
      <c r="C14" s="786">
        <v>29.408</v>
      </c>
      <c r="D14" s="793">
        <v>40</v>
      </c>
      <c r="E14" s="833">
        <v>33135</v>
      </c>
      <c r="F14" s="833">
        <v>95568</v>
      </c>
      <c r="G14" s="833">
        <v>47036</v>
      </c>
      <c r="H14" s="833">
        <v>48532</v>
      </c>
      <c r="I14" s="880">
        <f>(G14/H14)*100</f>
        <v>96.91749773345421</v>
      </c>
      <c r="J14" s="880">
        <f>(F14/E14)</f>
        <v>2.884200995925758</v>
      </c>
      <c r="K14" s="783">
        <f>(F14/C14)</f>
        <v>3249.727965179543</v>
      </c>
    </row>
    <row r="15" spans="2:11" ht="21" customHeight="1">
      <c r="B15" s="204" t="s">
        <v>541</v>
      </c>
      <c r="C15" s="786"/>
      <c r="D15" s="793"/>
      <c r="E15" s="833"/>
      <c r="F15" s="833"/>
      <c r="G15" s="833"/>
      <c r="H15" s="833"/>
      <c r="I15" s="880"/>
      <c r="J15" s="880"/>
      <c r="K15" s="783"/>
    </row>
    <row r="16" spans="2:11" ht="15" customHeight="1">
      <c r="B16" s="119" t="s">
        <v>1344</v>
      </c>
      <c r="C16" s="786">
        <v>11.3448</v>
      </c>
      <c r="D16" s="793">
        <v>23</v>
      </c>
      <c r="E16" s="833">
        <v>24893</v>
      </c>
      <c r="F16" s="833">
        <v>72958</v>
      </c>
      <c r="G16" s="833">
        <v>35058</v>
      </c>
      <c r="H16" s="833">
        <v>37900</v>
      </c>
      <c r="I16" s="880">
        <f>(G16/H16)*100</f>
        <v>92.50131926121372</v>
      </c>
      <c r="J16" s="880">
        <f>(F16/E16)</f>
        <v>2.930864098340899</v>
      </c>
      <c r="K16" s="783">
        <f>(F16/C16)</f>
        <v>6430.963965869826</v>
      </c>
    </row>
    <row r="17" spans="2:11" ht="21" customHeight="1">
      <c r="B17" s="192" t="s">
        <v>852</v>
      </c>
      <c r="C17" s="786"/>
      <c r="D17" s="793"/>
      <c r="E17" s="833"/>
      <c r="F17" s="833"/>
      <c r="G17" s="833"/>
      <c r="H17" s="833"/>
      <c r="I17" s="880"/>
      <c r="J17" s="880"/>
      <c r="K17" s="783"/>
    </row>
    <row r="18" spans="2:11" ht="15" customHeight="1">
      <c r="B18" s="119" t="s">
        <v>1345</v>
      </c>
      <c r="C18" s="786">
        <v>89.0196</v>
      </c>
      <c r="D18" s="793">
        <v>26</v>
      </c>
      <c r="E18" s="833">
        <v>13616</v>
      </c>
      <c r="F18" s="833">
        <v>42986</v>
      </c>
      <c r="G18" s="833">
        <v>22041</v>
      </c>
      <c r="H18" s="833">
        <v>20945</v>
      </c>
      <c r="I18" s="880">
        <f>(G18/H18)*100</f>
        <v>105.2327524468847</v>
      </c>
      <c r="J18" s="880">
        <f>(F18/E18)</f>
        <v>3.157021151586369</v>
      </c>
      <c r="K18" s="783">
        <f>(F18/C18)</f>
        <v>482.8824213993323</v>
      </c>
    </row>
    <row r="19" spans="2:11" ht="21" customHeight="1">
      <c r="B19" s="192" t="s">
        <v>853</v>
      </c>
      <c r="C19" s="786"/>
      <c r="D19" s="793"/>
      <c r="E19" s="833"/>
      <c r="F19" s="833"/>
      <c r="G19" s="833"/>
      <c r="H19" s="833"/>
      <c r="I19" s="880"/>
      <c r="J19" s="880"/>
      <c r="K19" s="783"/>
    </row>
    <row r="20" spans="2:11" ht="15" customHeight="1">
      <c r="B20" s="119" t="s">
        <v>1346</v>
      </c>
      <c r="C20" s="786">
        <v>100.893</v>
      </c>
      <c r="D20" s="793">
        <v>24</v>
      </c>
      <c r="E20" s="833">
        <v>9700</v>
      </c>
      <c r="F20" s="833">
        <v>30899</v>
      </c>
      <c r="G20" s="833">
        <v>15966</v>
      </c>
      <c r="H20" s="833">
        <v>14933</v>
      </c>
      <c r="I20" s="880">
        <f>(G20/H20)*100</f>
        <v>106.91756512422153</v>
      </c>
      <c r="J20" s="880">
        <f>(F20/E20)</f>
        <v>3.185463917525773</v>
      </c>
      <c r="K20" s="783">
        <f>(F20/C20)</f>
        <v>306.2551415856402</v>
      </c>
    </row>
    <row r="21" spans="2:11" ht="21" customHeight="1">
      <c r="B21" s="192" t="s">
        <v>854</v>
      </c>
      <c r="C21" s="786"/>
      <c r="D21" s="793"/>
      <c r="E21" s="833"/>
      <c r="F21" s="833"/>
      <c r="G21" s="833"/>
      <c r="H21" s="833"/>
      <c r="I21" s="880"/>
      <c r="J21" s="880"/>
      <c r="K21" s="783"/>
    </row>
    <row r="22" spans="2:11" ht="15" customHeight="1">
      <c r="B22" s="119" t="s">
        <v>855</v>
      </c>
      <c r="C22" s="786">
        <v>101.4278</v>
      </c>
      <c r="D22" s="793">
        <v>18</v>
      </c>
      <c r="E22" s="833">
        <v>12350</v>
      </c>
      <c r="F22" s="833">
        <v>35876</v>
      </c>
      <c r="G22" s="833">
        <v>18799</v>
      </c>
      <c r="H22" s="833">
        <v>17077</v>
      </c>
      <c r="I22" s="880">
        <f>(G22/H22)*100</f>
        <v>110.0837383615389</v>
      </c>
      <c r="J22" s="880">
        <f>(F22/E22)</f>
        <v>2.904939271255061</v>
      </c>
      <c r="K22" s="783">
        <f>(F22/C22)</f>
        <v>353.70973244021854</v>
      </c>
    </row>
    <row r="23" spans="2:11" ht="21" customHeight="1">
      <c r="B23" s="205" t="s">
        <v>856</v>
      </c>
      <c r="C23" s="786"/>
      <c r="D23" s="793"/>
      <c r="E23" s="833"/>
      <c r="F23" s="833"/>
      <c r="G23" s="833"/>
      <c r="H23" s="833"/>
      <c r="I23" s="880"/>
      <c r="J23" s="880"/>
      <c r="K23" s="783"/>
    </row>
    <row r="24" spans="2:11" ht="15" customHeight="1">
      <c r="B24" s="119" t="s">
        <v>1348</v>
      </c>
      <c r="C24" s="786">
        <v>38.4769</v>
      </c>
      <c r="D24" s="793">
        <v>14</v>
      </c>
      <c r="E24" s="833">
        <v>8125</v>
      </c>
      <c r="F24" s="833">
        <v>25004</v>
      </c>
      <c r="G24" s="833">
        <v>13176</v>
      </c>
      <c r="H24" s="833">
        <v>11828</v>
      </c>
      <c r="I24" s="880">
        <f>(G24/H24)*100</f>
        <v>111.39668583023334</v>
      </c>
      <c r="J24" s="880">
        <f>(F24/E24)</f>
        <v>3.0774153846153847</v>
      </c>
      <c r="K24" s="783">
        <f>(F24/C24)</f>
        <v>649.8444521258209</v>
      </c>
    </row>
    <row r="25" spans="2:11" ht="21" customHeight="1">
      <c r="B25" s="192" t="s">
        <v>1362</v>
      </c>
      <c r="C25" s="786"/>
      <c r="D25" s="793"/>
      <c r="E25" s="833"/>
      <c r="F25" s="833"/>
      <c r="G25" s="833"/>
      <c r="H25" s="833"/>
      <c r="I25" s="880"/>
      <c r="J25" s="880"/>
      <c r="K25" s="783"/>
    </row>
    <row r="26" spans="2:11" ht="15" customHeight="1">
      <c r="B26" s="119" t="s">
        <v>1349</v>
      </c>
      <c r="C26" s="786">
        <v>111.9106</v>
      </c>
      <c r="D26" s="793">
        <v>16</v>
      </c>
      <c r="E26" s="833">
        <v>10768</v>
      </c>
      <c r="F26" s="833">
        <v>32347</v>
      </c>
      <c r="G26" s="833">
        <v>17328</v>
      </c>
      <c r="H26" s="833">
        <v>15019</v>
      </c>
      <c r="I26" s="880">
        <f>(G26/H26)*100</f>
        <v>115.37385977761502</v>
      </c>
      <c r="J26" s="880">
        <f>(F26/E26)</f>
        <v>3.0039933135215455</v>
      </c>
      <c r="K26" s="783">
        <f>(F26/C26)</f>
        <v>289.04321842613655</v>
      </c>
    </row>
    <row r="27" spans="2:11" ht="21" customHeight="1">
      <c r="B27" s="192" t="s">
        <v>1363</v>
      </c>
      <c r="C27" s="786"/>
      <c r="D27" s="793"/>
      <c r="E27" s="833"/>
      <c r="F27" s="833"/>
      <c r="G27" s="833"/>
      <c r="H27" s="833"/>
      <c r="I27" s="880"/>
      <c r="J27" s="880"/>
      <c r="K27" s="783"/>
    </row>
    <row r="28" spans="2:11" ht="15" customHeight="1">
      <c r="B28" s="119" t="s">
        <v>1350</v>
      </c>
      <c r="C28" s="786">
        <v>79.8573</v>
      </c>
      <c r="D28" s="793">
        <v>24</v>
      </c>
      <c r="E28" s="833">
        <v>17352</v>
      </c>
      <c r="F28" s="833">
        <v>52635</v>
      </c>
      <c r="G28" s="833">
        <v>27096</v>
      </c>
      <c r="H28" s="833">
        <v>25539</v>
      </c>
      <c r="I28" s="880">
        <f>(G28/H28)*100</f>
        <v>106.09655820509809</v>
      </c>
      <c r="J28" s="880">
        <f>(F28/E28)</f>
        <v>3.0333679114799446</v>
      </c>
      <c r="K28" s="783">
        <f>(F28/C28)</f>
        <v>659.1131931582961</v>
      </c>
    </row>
    <row r="29" spans="2:11" ht="21" customHeight="1">
      <c r="B29" s="192" t="s">
        <v>1364</v>
      </c>
      <c r="C29" s="786"/>
      <c r="D29" s="793"/>
      <c r="E29" s="833"/>
      <c r="F29" s="833"/>
      <c r="G29" s="833"/>
      <c r="H29" s="833"/>
      <c r="I29" s="880"/>
      <c r="J29" s="880"/>
      <c r="K29" s="783"/>
    </row>
    <row r="30" spans="2:11" ht="15" customHeight="1">
      <c r="B30" s="119" t="s">
        <v>1351</v>
      </c>
      <c r="C30" s="786">
        <v>38.8671</v>
      </c>
      <c r="D30" s="793">
        <v>15</v>
      </c>
      <c r="E30" s="833">
        <v>12978</v>
      </c>
      <c r="F30" s="833">
        <v>38850</v>
      </c>
      <c r="G30" s="833">
        <v>20167</v>
      </c>
      <c r="H30" s="833">
        <v>18683</v>
      </c>
      <c r="I30" s="880">
        <f>(G30/H30)*100</f>
        <v>107.94304983139753</v>
      </c>
      <c r="J30" s="880">
        <f>(F30/E30)</f>
        <v>2.9935275080906147</v>
      </c>
      <c r="K30" s="783">
        <f>(F30/C30)</f>
        <v>999.5600392105405</v>
      </c>
    </row>
    <row r="31" spans="2:11" ht="21" customHeight="1">
      <c r="B31" s="192" t="s">
        <v>1365</v>
      </c>
      <c r="C31" s="786"/>
      <c r="D31" s="793"/>
      <c r="E31" s="833"/>
      <c r="F31" s="833"/>
      <c r="G31" s="833"/>
      <c r="H31" s="833"/>
      <c r="I31" s="880"/>
      <c r="J31" s="880"/>
      <c r="K31" s="783"/>
    </row>
    <row r="32" spans="2:11" ht="15" customHeight="1">
      <c r="B32" s="119" t="s">
        <v>1352</v>
      </c>
      <c r="C32" s="786">
        <v>144.2238</v>
      </c>
      <c r="D32" s="793">
        <v>18</v>
      </c>
      <c r="E32" s="833">
        <v>7471</v>
      </c>
      <c r="F32" s="833">
        <v>21362</v>
      </c>
      <c r="G32" s="833">
        <v>11556</v>
      </c>
      <c r="H32" s="833">
        <v>9806</v>
      </c>
      <c r="I32" s="880">
        <f>(G32/H32)*100</f>
        <v>117.84621660208036</v>
      </c>
      <c r="J32" s="880">
        <f>(F32/E32)</f>
        <v>2.8593227144960514</v>
      </c>
      <c r="K32" s="783">
        <f>(F32/C32)</f>
        <v>148.11702368125094</v>
      </c>
    </row>
    <row r="33" spans="2:11" ht="21" customHeight="1">
      <c r="B33" s="192" t="s">
        <v>1366</v>
      </c>
      <c r="C33" s="786"/>
      <c r="D33" s="793"/>
      <c r="E33" s="833"/>
      <c r="F33" s="833"/>
      <c r="G33" s="833"/>
      <c r="H33" s="833"/>
      <c r="I33" s="880"/>
      <c r="J33" s="880"/>
      <c r="K33" s="783"/>
    </row>
    <row r="34" spans="2:11" ht="15" customHeight="1">
      <c r="B34" s="119" t="s">
        <v>1353</v>
      </c>
      <c r="C34" s="786">
        <v>657.5442</v>
      </c>
      <c r="D34" s="793">
        <v>10</v>
      </c>
      <c r="E34" s="833">
        <v>1826</v>
      </c>
      <c r="F34" s="833">
        <v>5987</v>
      </c>
      <c r="G34" s="833">
        <v>3268</v>
      </c>
      <c r="H34" s="833">
        <v>2719</v>
      </c>
      <c r="I34" s="880">
        <f>(G34/H34)*100</f>
        <v>120.19124678190511</v>
      </c>
      <c r="J34" s="880">
        <f>(F34/E34)</f>
        <v>3.2787513691128147</v>
      </c>
      <c r="K34" s="783">
        <f>(F34/C34)</f>
        <v>9.105091338346531</v>
      </c>
    </row>
    <row r="35" spans="2:11" ht="21" customHeight="1">
      <c r="B35" s="192" t="s">
        <v>1367</v>
      </c>
      <c r="C35" s="786"/>
      <c r="D35" s="793"/>
      <c r="E35" s="833"/>
      <c r="F35" s="833"/>
      <c r="G35" s="833"/>
      <c r="H35" s="833"/>
      <c r="I35" s="880"/>
      <c r="J35" s="880"/>
      <c r="K35" s="783"/>
    </row>
    <row r="36" spans="2:11" ht="15" customHeight="1">
      <c r="B36" s="119" t="s">
        <v>1354</v>
      </c>
      <c r="C36" s="786">
        <v>740.652</v>
      </c>
      <c r="D36" s="792">
        <v>7</v>
      </c>
      <c r="E36" s="894">
        <v>1807</v>
      </c>
      <c r="F36" s="894">
        <v>6014</v>
      </c>
      <c r="G36" s="894">
        <v>3191</v>
      </c>
      <c r="H36" s="894">
        <v>2823</v>
      </c>
      <c r="I36" s="876">
        <f>(G36/H36)*100</f>
        <v>113.0357775416224</v>
      </c>
      <c r="J36" s="876">
        <f>(F36/E36)</f>
        <v>3.328168234643055</v>
      </c>
      <c r="K36" s="790">
        <f>(F36/C36)</f>
        <v>8.119872760756738</v>
      </c>
    </row>
    <row r="37" spans="2:11" ht="21" customHeight="1" thickBot="1">
      <c r="B37" s="193" t="s">
        <v>1368</v>
      </c>
      <c r="C37" s="787"/>
      <c r="D37" s="839"/>
      <c r="E37" s="832"/>
      <c r="F37" s="832"/>
      <c r="G37" s="832"/>
      <c r="H37" s="832"/>
      <c r="I37" s="789"/>
      <c r="J37" s="789"/>
      <c r="K37" s="791"/>
    </row>
    <row r="38" spans="2:8" ht="21.75" customHeight="1">
      <c r="B38" s="113" t="s">
        <v>721</v>
      </c>
      <c r="F38" s="670"/>
      <c r="H38" s="670"/>
    </row>
    <row r="39" spans="1:12" ht="27" customHeight="1">
      <c r="A39" s="899" t="s">
        <v>857</v>
      </c>
      <c r="B39" s="899"/>
      <c r="C39" s="899"/>
      <c r="D39" s="899"/>
      <c r="E39" s="899"/>
      <c r="F39" s="899"/>
      <c r="G39" s="899"/>
      <c r="H39" s="899"/>
      <c r="I39" s="899"/>
      <c r="J39" s="899"/>
      <c r="K39" s="899"/>
      <c r="L39" s="899"/>
    </row>
    <row r="40" spans="3:11" s="147" customFormat="1" ht="34.5" customHeight="1">
      <c r="C40" s="196"/>
      <c r="D40" s="196"/>
      <c r="E40" s="671"/>
      <c r="F40" s="671"/>
      <c r="G40" s="671"/>
      <c r="H40" s="671"/>
      <c r="I40" s="196"/>
      <c r="J40" s="196"/>
      <c r="K40" s="196"/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 hidden="1"/>
    <row r="60" ht="30" customHeight="1" hidden="1"/>
    <row r="61" spans="3:8" ht="30" customHeight="1" hidden="1">
      <c r="C61" s="117">
        <f>SUM(C62:C69)</f>
        <v>0</v>
      </c>
      <c r="D61" s="117"/>
      <c r="E61" s="672"/>
      <c r="F61" s="672"/>
      <c r="G61" s="672"/>
      <c r="H61" s="672"/>
    </row>
    <row r="62" ht="30" customHeight="1"/>
    <row r="63" ht="30" customHeight="1" hidden="1"/>
    <row r="64" ht="30" customHeight="1" hidden="1"/>
    <row r="65" ht="30" customHeight="1" hidden="1"/>
    <row r="66" ht="30" customHeight="1" hidden="1"/>
    <row r="67" ht="30" customHeight="1" hidden="1"/>
    <row r="68" ht="30" customHeight="1" hidden="1"/>
    <row r="69" ht="30" customHeight="1" hidden="1"/>
    <row r="70" ht="30" customHeight="1" hidden="1"/>
    <row r="71" ht="30" customHeight="1"/>
    <row r="72" ht="30" customHeight="1" hidden="1"/>
    <row r="73" ht="30" customHeight="1" hidden="1"/>
    <row r="74" ht="30" customHeight="1" hidden="1"/>
    <row r="75" spans="3:8" ht="30" customHeight="1" hidden="1">
      <c r="C75" s="3">
        <v>95831</v>
      </c>
      <c r="D75" s="3">
        <v>73038</v>
      </c>
      <c r="E75" s="225">
        <v>43305</v>
      </c>
      <c r="F75" s="225">
        <v>31161</v>
      </c>
      <c r="G75" s="225">
        <v>35895</v>
      </c>
      <c r="H75" s="225">
        <v>25109</v>
      </c>
    </row>
    <row r="76" ht="30" customHeight="1" hidden="1"/>
    <row r="77" ht="30" customHeight="1" hidden="1"/>
    <row r="78" ht="30" customHeight="1" hidden="1"/>
    <row r="79" ht="30" customHeight="1" hidden="1"/>
    <row r="80" ht="30" customHeight="1"/>
    <row r="81" ht="15.75">
      <c r="F81" s="673"/>
    </row>
    <row r="82" ht="15.75">
      <c r="F82" s="673"/>
    </row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9.75" customHeight="1"/>
    <row r="99" ht="16.5" customHeight="1"/>
    <row r="100" ht="16.5" customHeight="1"/>
    <row r="101" ht="16.5" customHeight="1"/>
    <row r="121" ht="24.75" customHeight="1"/>
    <row r="122" ht="24.75" customHeight="1">
      <c r="C122" s="135" t="s">
        <v>540</v>
      </c>
    </row>
    <row r="123" ht="24.75" customHeight="1"/>
    <row r="124" ht="24.75" customHeight="1"/>
    <row r="125" ht="24.75" customHeight="1"/>
    <row r="126" ht="24.75" customHeight="1"/>
    <row r="127" ht="24.75" customHeight="1" hidden="1"/>
    <row r="128" ht="24.75" customHeight="1" hidden="1"/>
    <row r="129" ht="24.75" customHeight="1" hidden="1"/>
    <row r="130" ht="24.75" customHeight="1" hidden="1"/>
    <row r="131" ht="24.75" customHeight="1" hidden="1"/>
    <row r="132" ht="24.75" customHeight="1"/>
    <row r="133" ht="24.75" customHeight="1" hidden="1"/>
    <row r="134" ht="24.75" customHeight="1" hidden="1"/>
    <row r="135" ht="24.75" customHeight="1" hidden="1"/>
    <row r="136" ht="24.75" customHeight="1" hidden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/>
    <row r="142" ht="24.75" customHeight="1" hidden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/>
    <row r="159" ht="24.7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24" customHeight="1"/>
    <row r="169" ht="16.5" customHeight="1"/>
    <row r="170" ht="16.5" customHeight="1"/>
  </sheetData>
  <mergeCells count="144">
    <mergeCell ref="J6:J7"/>
    <mergeCell ref="B2:K2"/>
    <mergeCell ref="A1:L1"/>
    <mergeCell ref="B6:B8"/>
    <mergeCell ref="D6:D8"/>
    <mergeCell ref="E6:E8"/>
    <mergeCell ref="F6:H6"/>
    <mergeCell ref="I6:I7"/>
    <mergeCell ref="F7:H7"/>
    <mergeCell ref="F8:F9"/>
    <mergeCell ref="B9:B11"/>
    <mergeCell ref="C9:C11"/>
    <mergeCell ref="D9:D11"/>
    <mergeCell ref="E9:E11"/>
    <mergeCell ref="J9:J11"/>
    <mergeCell ref="K9:K11"/>
    <mergeCell ref="F10:F11"/>
    <mergeCell ref="G10:G11"/>
    <mergeCell ref="H10:H11"/>
    <mergeCell ref="I10:I11"/>
    <mergeCell ref="H8:H9"/>
    <mergeCell ref="I8:I9"/>
    <mergeCell ref="G8:G9"/>
    <mergeCell ref="A5:L5"/>
    <mergeCell ref="A3:L3"/>
    <mergeCell ref="A4:L4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D16:D17"/>
    <mergeCell ref="E16:E17"/>
    <mergeCell ref="F16:F17"/>
    <mergeCell ref="G16:G17"/>
    <mergeCell ref="H16:H17"/>
    <mergeCell ref="I16:I17"/>
    <mergeCell ref="J16:J17"/>
    <mergeCell ref="K16:K17"/>
    <mergeCell ref="H20:H21"/>
    <mergeCell ref="D18:D19"/>
    <mergeCell ref="E18:E19"/>
    <mergeCell ref="F18:F19"/>
    <mergeCell ref="G18:G19"/>
    <mergeCell ref="H18:H19"/>
    <mergeCell ref="D20:D21"/>
    <mergeCell ref="E20:E21"/>
    <mergeCell ref="F20:F21"/>
    <mergeCell ref="G20:G21"/>
    <mergeCell ref="H22:H23"/>
    <mergeCell ref="D24:D25"/>
    <mergeCell ref="D22:D23"/>
    <mergeCell ref="E22:E23"/>
    <mergeCell ref="F22:F23"/>
    <mergeCell ref="G22:G23"/>
    <mergeCell ref="E24:E25"/>
    <mergeCell ref="F24:F25"/>
    <mergeCell ref="G24:G25"/>
    <mergeCell ref="H24:H25"/>
    <mergeCell ref="H28:H29"/>
    <mergeCell ref="D26:D27"/>
    <mergeCell ref="E26:E27"/>
    <mergeCell ref="F26:F27"/>
    <mergeCell ref="G26:G27"/>
    <mergeCell ref="H26:H27"/>
    <mergeCell ref="D28:D29"/>
    <mergeCell ref="E28:E29"/>
    <mergeCell ref="F28:F29"/>
    <mergeCell ref="G28:G29"/>
    <mergeCell ref="H30:H31"/>
    <mergeCell ref="D32:D33"/>
    <mergeCell ref="E32:E33"/>
    <mergeCell ref="F32:F33"/>
    <mergeCell ref="G32:G33"/>
    <mergeCell ref="H32:H33"/>
    <mergeCell ref="D30:D31"/>
    <mergeCell ref="E30:E31"/>
    <mergeCell ref="F30:F31"/>
    <mergeCell ref="G30:G31"/>
    <mergeCell ref="H34:H35"/>
    <mergeCell ref="D36:D37"/>
    <mergeCell ref="E36:E37"/>
    <mergeCell ref="F36:F37"/>
    <mergeCell ref="G36:G37"/>
    <mergeCell ref="H36:H37"/>
    <mergeCell ref="D34:D35"/>
    <mergeCell ref="E34:E35"/>
    <mergeCell ref="F34:F35"/>
    <mergeCell ref="G34:G35"/>
    <mergeCell ref="I18:I19"/>
    <mergeCell ref="J18:J19"/>
    <mergeCell ref="K18:K19"/>
    <mergeCell ref="I20:I21"/>
    <mergeCell ref="J20:J21"/>
    <mergeCell ref="K20:K21"/>
    <mergeCell ref="I22:I23"/>
    <mergeCell ref="J22:J23"/>
    <mergeCell ref="K22:K23"/>
    <mergeCell ref="I24:I25"/>
    <mergeCell ref="J24:J25"/>
    <mergeCell ref="K24:K25"/>
    <mergeCell ref="I36:I37"/>
    <mergeCell ref="J36:J37"/>
    <mergeCell ref="K36:K37"/>
    <mergeCell ref="I30:I31"/>
    <mergeCell ref="J30:J31"/>
    <mergeCell ref="K30:K31"/>
    <mergeCell ref="I32:I33"/>
    <mergeCell ref="J32:J33"/>
    <mergeCell ref="K32:K33"/>
    <mergeCell ref="C22:C23"/>
    <mergeCell ref="I34:I35"/>
    <mergeCell ref="J34:J35"/>
    <mergeCell ref="K34:K35"/>
    <mergeCell ref="I26:I27"/>
    <mergeCell ref="J26:J27"/>
    <mergeCell ref="K26:K27"/>
    <mergeCell ref="I28:I29"/>
    <mergeCell ref="J28:J29"/>
    <mergeCell ref="K28:K29"/>
    <mergeCell ref="C34:C35"/>
    <mergeCell ref="C36:C37"/>
    <mergeCell ref="C12:C13"/>
    <mergeCell ref="C24:C25"/>
    <mergeCell ref="C26:C27"/>
    <mergeCell ref="C28:C29"/>
    <mergeCell ref="C30:C31"/>
    <mergeCell ref="C16:C17"/>
    <mergeCell ref="C18:C19"/>
    <mergeCell ref="C20:C21"/>
    <mergeCell ref="A39:L39"/>
    <mergeCell ref="H12:H13"/>
    <mergeCell ref="I12:I13"/>
    <mergeCell ref="J12:J13"/>
    <mergeCell ref="K12:K13"/>
    <mergeCell ref="D12:D13"/>
    <mergeCell ref="E12:E13"/>
    <mergeCell ref="F12:F13"/>
    <mergeCell ref="G12:G13"/>
    <mergeCell ref="C32:C3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5"/>
  <sheetViews>
    <sheetView showGridLines="0" zoomScaleSheetLayoutView="100" workbookViewId="0" topLeftCell="A1">
      <selection activeCell="O96" sqref="O96"/>
    </sheetView>
  </sheetViews>
  <sheetFormatPr defaultColWidth="9.00390625" defaultRowHeight="16.5"/>
  <cols>
    <col min="1" max="1" width="2.625" style="3" customWidth="1"/>
    <col min="2" max="8" width="12.125" style="3" customWidth="1"/>
    <col min="9" max="9" width="2.625" style="3" customWidth="1"/>
    <col min="10" max="16384" width="9.00390625" style="3" customWidth="1"/>
  </cols>
  <sheetData>
    <row r="1" spans="1:9" ht="49.5" customHeight="1">
      <c r="A1" s="869" t="s">
        <v>858</v>
      </c>
      <c r="B1" s="820"/>
      <c r="C1" s="820"/>
      <c r="D1" s="820"/>
      <c r="E1" s="820"/>
      <c r="F1" s="820"/>
      <c r="G1" s="820"/>
      <c r="H1" s="820"/>
      <c r="I1" s="820"/>
    </row>
    <row r="2" spans="2:10" ht="62.25" customHeight="1">
      <c r="B2" s="871" t="s">
        <v>859</v>
      </c>
      <c r="C2" s="808"/>
      <c r="D2" s="808"/>
      <c r="E2" s="808"/>
      <c r="F2" s="808"/>
      <c r="G2" s="808"/>
      <c r="H2" s="808"/>
      <c r="I2" s="169"/>
      <c r="J2" s="197"/>
    </row>
    <row r="3" spans="1:10" ht="18" customHeight="1">
      <c r="A3" s="897" t="s">
        <v>860</v>
      </c>
      <c r="B3" s="897"/>
      <c r="C3" s="897"/>
      <c r="D3" s="897"/>
      <c r="E3" s="897"/>
      <c r="F3" s="897"/>
      <c r="G3" s="897"/>
      <c r="H3" s="897"/>
      <c r="I3" s="897"/>
      <c r="J3" s="197"/>
    </row>
    <row r="4" spans="1:10" ht="20.25" customHeight="1" thickBot="1">
      <c r="A4" s="898" t="s">
        <v>861</v>
      </c>
      <c r="B4" s="898"/>
      <c r="C4" s="898"/>
      <c r="D4" s="898"/>
      <c r="E4" s="898"/>
      <c r="F4" s="898"/>
      <c r="G4" s="898"/>
      <c r="H4" s="898"/>
      <c r="I4" s="898"/>
      <c r="J4" s="197"/>
    </row>
    <row r="5" spans="2:10" ht="37.5" customHeight="1">
      <c r="B5" s="137" t="s">
        <v>543</v>
      </c>
      <c r="C5" s="199" t="s">
        <v>851</v>
      </c>
      <c r="D5" s="199" t="s">
        <v>1344</v>
      </c>
      <c r="E5" s="199" t="s">
        <v>1345</v>
      </c>
      <c r="F5" s="199" t="s">
        <v>1346</v>
      </c>
      <c r="G5" s="199" t="s">
        <v>1347</v>
      </c>
      <c r="H5" s="136" t="s">
        <v>1348</v>
      </c>
      <c r="J5" s="197"/>
    </row>
    <row r="6" spans="2:10" ht="37.5" customHeight="1" thickBot="1">
      <c r="B6" s="142" t="s">
        <v>862</v>
      </c>
      <c r="C6" s="202" t="s">
        <v>541</v>
      </c>
      <c r="D6" s="200" t="s">
        <v>1360</v>
      </c>
      <c r="E6" s="203" t="s">
        <v>863</v>
      </c>
      <c r="F6" s="200" t="s">
        <v>1361</v>
      </c>
      <c r="G6" s="203" t="s">
        <v>542</v>
      </c>
      <c r="H6" s="201" t="s">
        <v>1362</v>
      </c>
      <c r="J6" s="198"/>
    </row>
    <row r="7" spans="2:10" ht="22.5" customHeight="1" hidden="1">
      <c r="B7" s="115" t="s">
        <v>532</v>
      </c>
      <c r="C7" s="5">
        <v>91133</v>
      </c>
      <c r="D7" s="5">
        <v>66460</v>
      </c>
      <c r="E7" s="5">
        <v>50357</v>
      </c>
      <c r="F7" s="5">
        <v>34625</v>
      </c>
      <c r="G7" s="5">
        <v>38890</v>
      </c>
      <c r="H7" s="5">
        <v>25743</v>
      </c>
      <c r="J7" s="198"/>
    </row>
    <row r="8" spans="2:10" ht="21" customHeight="1" hidden="1">
      <c r="B8" s="112" t="s">
        <v>700</v>
      </c>
      <c r="C8" s="5">
        <v>92313</v>
      </c>
      <c r="D8" s="5">
        <v>66921</v>
      </c>
      <c r="E8" s="5">
        <v>49584</v>
      </c>
      <c r="F8" s="5">
        <v>34391</v>
      </c>
      <c r="G8" s="5">
        <v>38771</v>
      </c>
      <c r="H8" s="5">
        <v>25758</v>
      </c>
      <c r="J8" s="198"/>
    </row>
    <row r="9" spans="2:10" ht="21" customHeight="1" hidden="1">
      <c r="B9" s="112" t="s">
        <v>702</v>
      </c>
      <c r="C9" s="5">
        <v>92542</v>
      </c>
      <c r="D9" s="5">
        <v>67569</v>
      </c>
      <c r="E9" s="5">
        <v>48834</v>
      </c>
      <c r="F9" s="5">
        <v>34120</v>
      </c>
      <c r="G9" s="5">
        <v>38519</v>
      </c>
      <c r="H9" s="5">
        <v>26049</v>
      </c>
      <c r="J9" s="198"/>
    </row>
    <row r="10" spans="2:10" ht="16.5" customHeight="1" hidden="1">
      <c r="B10" s="122"/>
      <c r="C10" s="5"/>
      <c r="D10" s="5"/>
      <c r="E10" s="5"/>
      <c r="F10" s="5"/>
      <c r="G10" s="5"/>
      <c r="H10" s="5"/>
      <c r="J10" s="198"/>
    </row>
    <row r="11" spans="2:10" ht="21" customHeight="1" hidden="1">
      <c r="B11" s="112" t="s">
        <v>703</v>
      </c>
      <c r="C11" s="5">
        <v>92038</v>
      </c>
      <c r="D11" s="5">
        <v>68075</v>
      </c>
      <c r="E11" s="5">
        <v>48545</v>
      </c>
      <c r="F11" s="5">
        <v>33624</v>
      </c>
      <c r="G11" s="5">
        <v>38760</v>
      </c>
      <c r="H11" s="5">
        <v>27273</v>
      </c>
      <c r="J11" s="197"/>
    </row>
    <row r="12" spans="2:10" ht="21" customHeight="1" hidden="1">
      <c r="B12" s="112" t="s">
        <v>704</v>
      </c>
      <c r="C12" s="5">
        <v>92013</v>
      </c>
      <c r="D12" s="5">
        <v>68480</v>
      </c>
      <c r="E12" s="5">
        <v>48023</v>
      </c>
      <c r="F12" s="5">
        <v>33632</v>
      </c>
      <c r="G12" s="5">
        <v>38514</v>
      </c>
      <c r="H12" s="5">
        <v>26263</v>
      </c>
      <c r="J12" s="197"/>
    </row>
    <row r="13" spans="2:10" ht="27.75" customHeight="1" hidden="1">
      <c r="B13" s="112" t="s">
        <v>705</v>
      </c>
      <c r="C13" s="5">
        <v>91908</v>
      </c>
      <c r="D13" s="5">
        <v>69193</v>
      </c>
      <c r="E13" s="5">
        <v>47239</v>
      </c>
      <c r="F13" s="5">
        <v>33340</v>
      </c>
      <c r="G13" s="5">
        <v>38382</v>
      </c>
      <c r="H13" s="5">
        <v>26266</v>
      </c>
      <c r="J13" s="197"/>
    </row>
    <row r="14" spans="2:10" ht="27.75" customHeight="1">
      <c r="B14" s="112" t="s">
        <v>706</v>
      </c>
      <c r="C14" s="5">
        <v>91951</v>
      </c>
      <c r="D14" s="5">
        <v>69777</v>
      </c>
      <c r="E14" s="5">
        <v>46779</v>
      </c>
      <c r="F14" s="5">
        <v>33337</v>
      </c>
      <c r="G14" s="5">
        <v>38187</v>
      </c>
      <c r="H14" s="5">
        <v>26451</v>
      </c>
      <c r="J14" s="198"/>
    </row>
    <row r="15" spans="2:10" ht="27.75" customHeight="1">
      <c r="B15" s="112" t="s">
        <v>707</v>
      </c>
      <c r="C15" s="5">
        <v>92097</v>
      </c>
      <c r="D15" s="5">
        <v>70258</v>
      </c>
      <c r="E15" s="154">
        <v>46469</v>
      </c>
      <c r="F15" s="154">
        <v>33113</v>
      </c>
      <c r="G15" s="154">
        <v>38133</v>
      </c>
      <c r="H15" s="154">
        <v>27136</v>
      </c>
      <c r="J15" s="198"/>
    </row>
    <row r="16" spans="2:8" ht="27.75" customHeight="1">
      <c r="B16" s="112" t="s">
        <v>708</v>
      </c>
      <c r="C16" s="5">
        <v>92768</v>
      </c>
      <c r="D16" s="5">
        <v>70775</v>
      </c>
      <c r="E16" s="154">
        <v>45869</v>
      </c>
      <c r="F16" s="154">
        <v>33062</v>
      </c>
      <c r="G16" s="154">
        <v>37685</v>
      </c>
      <c r="H16" s="154">
        <v>26355</v>
      </c>
    </row>
    <row r="17" spans="2:8" ht="22.5" customHeight="1" hidden="1">
      <c r="B17" s="112" t="s">
        <v>527</v>
      </c>
      <c r="C17" s="5">
        <v>91846</v>
      </c>
      <c r="D17" s="5">
        <v>69934</v>
      </c>
      <c r="E17" s="154">
        <v>46319</v>
      </c>
      <c r="F17" s="154">
        <v>33257</v>
      </c>
      <c r="G17" s="154">
        <v>38288</v>
      </c>
      <c r="H17" s="154">
        <v>27178</v>
      </c>
    </row>
    <row r="18" spans="2:8" ht="22.5" customHeight="1" hidden="1">
      <c r="B18" s="112" t="s">
        <v>528</v>
      </c>
      <c r="C18" s="5">
        <v>92224</v>
      </c>
      <c r="D18" s="5">
        <v>70276</v>
      </c>
      <c r="E18" s="154">
        <v>46128</v>
      </c>
      <c r="F18" s="154">
        <v>33113</v>
      </c>
      <c r="G18" s="154">
        <v>38004</v>
      </c>
      <c r="H18" s="154">
        <v>26852</v>
      </c>
    </row>
    <row r="19" spans="2:8" ht="22.5" customHeight="1" hidden="1">
      <c r="B19" s="112" t="s">
        <v>529</v>
      </c>
      <c r="C19" s="5">
        <v>92519</v>
      </c>
      <c r="D19" s="5">
        <v>70387</v>
      </c>
      <c r="E19" s="154">
        <v>45988</v>
      </c>
      <c r="F19" s="154">
        <v>33124</v>
      </c>
      <c r="G19" s="154">
        <v>37837</v>
      </c>
      <c r="H19" s="154">
        <v>26515</v>
      </c>
    </row>
    <row r="20" spans="2:8" ht="22.5" customHeight="1" hidden="1">
      <c r="B20" s="112" t="s">
        <v>530</v>
      </c>
      <c r="C20" s="5">
        <v>92768</v>
      </c>
      <c r="D20" s="5">
        <v>70775</v>
      </c>
      <c r="E20" s="154">
        <v>45869</v>
      </c>
      <c r="F20" s="154">
        <v>33062</v>
      </c>
      <c r="G20" s="154">
        <v>37685</v>
      </c>
      <c r="H20" s="154">
        <v>26355</v>
      </c>
    </row>
    <row r="21" spans="2:8" ht="27.75" customHeight="1">
      <c r="B21" s="112" t="s">
        <v>709</v>
      </c>
      <c r="C21" s="5">
        <f aca="true" t="shared" si="0" ref="C21:H21">C28</f>
        <v>93623</v>
      </c>
      <c r="D21" s="158">
        <f t="shared" si="0"/>
        <v>72020</v>
      </c>
      <c r="E21" s="154">
        <f t="shared" si="0"/>
        <v>45273</v>
      </c>
      <c r="F21" s="154">
        <f t="shared" si="0"/>
        <v>32817</v>
      </c>
      <c r="G21" s="154">
        <f t="shared" si="0"/>
        <v>37267</v>
      </c>
      <c r="H21" s="154">
        <f t="shared" si="0"/>
        <v>26137</v>
      </c>
    </row>
    <row r="22" spans="2:8" ht="12.75" customHeight="1" hidden="1">
      <c r="B22" s="112" t="s">
        <v>527</v>
      </c>
      <c r="C22" s="765">
        <v>93042</v>
      </c>
      <c r="D22" s="900">
        <v>71146</v>
      </c>
      <c r="E22" s="900">
        <v>45716</v>
      </c>
      <c r="F22" s="900">
        <v>33027</v>
      </c>
      <c r="G22" s="900">
        <v>37626</v>
      </c>
      <c r="H22" s="900">
        <v>26291</v>
      </c>
    </row>
    <row r="23" spans="2:8" ht="12.75" customHeight="1" hidden="1">
      <c r="B23" s="122" t="s">
        <v>1333</v>
      </c>
      <c r="C23" s="884"/>
      <c r="D23" s="879"/>
      <c r="E23" s="879"/>
      <c r="F23" s="879"/>
      <c r="G23" s="879"/>
      <c r="H23" s="879"/>
    </row>
    <row r="24" spans="2:8" ht="12.75" customHeight="1" hidden="1">
      <c r="B24" s="112" t="s">
        <v>528</v>
      </c>
      <c r="C24" s="765">
        <v>93261</v>
      </c>
      <c r="D24" s="900">
        <v>71494</v>
      </c>
      <c r="E24" s="900">
        <v>45606</v>
      </c>
      <c r="F24" s="900">
        <v>32942</v>
      </c>
      <c r="G24" s="900">
        <v>37520</v>
      </c>
      <c r="H24" s="900">
        <v>26241</v>
      </c>
    </row>
    <row r="25" spans="2:8" ht="12.75" customHeight="1" hidden="1">
      <c r="B25" s="122" t="s">
        <v>1334</v>
      </c>
      <c r="C25" s="765"/>
      <c r="D25" s="900"/>
      <c r="E25" s="900"/>
      <c r="F25" s="900"/>
      <c r="G25" s="900"/>
      <c r="H25" s="900"/>
    </row>
    <row r="26" spans="2:8" ht="12.75" customHeight="1" hidden="1">
      <c r="B26" s="112" t="s">
        <v>529</v>
      </c>
      <c r="C26" s="765">
        <v>93457</v>
      </c>
      <c r="D26" s="900">
        <v>71790</v>
      </c>
      <c r="E26" s="900">
        <v>45400</v>
      </c>
      <c r="F26" s="900">
        <v>32886</v>
      </c>
      <c r="G26" s="900">
        <v>37329</v>
      </c>
      <c r="H26" s="900">
        <v>26205</v>
      </c>
    </row>
    <row r="27" spans="2:8" ht="12.75" customHeight="1" hidden="1">
      <c r="B27" s="122" t="s">
        <v>1335</v>
      </c>
      <c r="C27" s="765"/>
      <c r="D27" s="900"/>
      <c r="E27" s="900"/>
      <c r="F27" s="900"/>
      <c r="G27" s="900"/>
      <c r="H27" s="900"/>
    </row>
    <row r="28" spans="2:8" ht="12.75" customHeight="1" hidden="1">
      <c r="B28" s="112" t="s">
        <v>530</v>
      </c>
      <c r="C28" s="765">
        <v>93623</v>
      </c>
      <c r="D28" s="900">
        <v>72020</v>
      </c>
      <c r="E28" s="900">
        <v>45273</v>
      </c>
      <c r="F28" s="900">
        <v>32817</v>
      </c>
      <c r="G28" s="900">
        <v>37267</v>
      </c>
      <c r="H28" s="900">
        <v>26137</v>
      </c>
    </row>
    <row r="29" spans="2:8" ht="12.75" customHeight="1" hidden="1">
      <c r="B29" s="122" t="s">
        <v>1336</v>
      </c>
      <c r="C29" s="765"/>
      <c r="D29" s="900"/>
      <c r="E29" s="900"/>
      <c r="F29" s="900"/>
      <c r="G29" s="900"/>
      <c r="H29" s="900"/>
    </row>
    <row r="30" spans="2:8" ht="27.75" customHeight="1">
      <c r="B30" s="112" t="s">
        <v>710</v>
      </c>
      <c r="C30" s="5">
        <f aca="true" t="shared" si="1" ref="C30:H30">C37</f>
        <v>94188</v>
      </c>
      <c r="D30" s="158">
        <f t="shared" si="1"/>
        <v>73196</v>
      </c>
      <c r="E30" s="158">
        <f t="shared" si="1"/>
        <v>44487</v>
      </c>
      <c r="F30" s="158">
        <f t="shared" si="1"/>
        <v>32577</v>
      </c>
      <c r="G30" s="158">
        <f t="shared" si="1"/>
        <v>37032</v>
      </c>
      <c r="H30" s="158">
        <f t="shared" si="1"/>
        <v>25992</v>
      </c>
    </row>
    <row r="31" spans="2:8" ht="12.75" customHeight="1" hidden="1">
      <c r="B31" s="112" t="s">
        <v>711</v>
      </c>
      <c r="C31" s="765">
        <v>93690</v>
      </c>
      <c r="D31" s="900">
        <v>72270</v>
      </c>
      <c r="E31" s="900">
        <v>45083</v>
      </c>
      <c r="F31" s="900">
        <v>32744</v>
      </c>
      <c r="G31" s="900">
        <v>37245</v>
      </c>
      <c r="H31" s="900">
        <v>26078</v>
      </c>
    </row>
    <row r="32" spans="2:8" ht="12.75" customHeight="1" hidden="1">
      <c r="B32" s="122" t="s">
        <v>1333</v>
      </c>
      <c r="C32" s="884"/>
      <c r="D32" s="879"/>
      <c r="E32" s="879"/>
      <c r="F32" s="879"/>
      <c r="G32" s="879"/>
      <c r="H32" s="879"/>
    </row>
    <row r="33" spans="2:8" ht="12.75" customHeight="1" hidden="1">
      <c r="B33" s="112" t="s">
        <v>712</v>
      </c>
      <c r="C33" s="765">
        <v>93856</v>
      </c>
      <c r="D33" s="900">
        <v>72669</v>
      </c>
      <c r="E33" s="900">
        <v>44836</v>
      </c>
      <c r="F33" s="900">
        <v>32643</v>
      </c>
      <c r="G33" s="900">
        <v>37135</v>
      </c>
      <c r="H33" s="900">
        <v>26022</v>
      </c>
    </row>
    <row r="34" spans="2:8" ht="12.75" customHeight="1" hidden="1">
      <c r="B34" s="122" t="s">
        <v>1334</v>
      </c>
      <c r="C34" s="884"/>
      <c r="D34" s="879"/>
      <c r="E34" s="879"/>
      <c r="F34" s="879"/>
      <c r="G34" s="879"/>
      <c r="H34" s="879"/>
    </row>
    <row r="35" spans="2:8" ht="12.75" customHeight="1" hidden="1">
      <c r="B35" s="112" t="s">
        <v>713</v>
      </c>
      <c r="C35" s="765">
        <v>93989</v>
      </c>
      <c r="D35" s="900">
        <v>72993</v>
      </c>
      <c r="E35" s="900">
        <v>44665</v>
      </c>
      <c r="F35" s="900">
        <v>32601</v>
      </c>
      <c r="G35" s="900">
        <v>37060</v>
      </c>
      <c r="H35" s="900">
        <v>26058</v>
      </c>
    </row>
    <row r="36" spans="2:8" ht="12.75" customHeight="1" hidden="1">
      <c r="B36" s="122" t="s">
        <v>1335</v>
      </c>
      <c r="C36" s="884"/>
      <c r="D36" s="879"/>
      <c r="E36" s="879"/>
      <c r="F36" s="879"/>
      <c r="G36" s="879"/>
      <c r="H36" s="879"/>
    </row>
    <row r="37" spans="2:8" ht="12.75" customHeight="1" hidden="1">
      <c r="B37" s="112" t="s">
        <v>714</v>
      </c>
      <c r="C37" s="765">
        <v>94188</v>
      </c>
      <c r="D37" s="900">
        <v>73196</v>
      </c>
      <c r="E37" s="900">
        <v>44487</v>
      </c>
      <c r="F37" s="900">
        <v>32577</v>
      </c>
      <c r="G37" s="900">
        <v>37032</v>
      </c>
      <c r="H37" s="900">
        <v>25992</v>
      </c>
    </row>
    <row r="38" spans="2:8" ht="12.75" customHeight="1" hidden="1">
      <c r="B38" s="122" t="s">
        <v>1336</v>
      </c>
      <c r="C38" s="765"/>
      <c r="D38" s="900"/>
      <c r="E38" s="900"/>
      <c r="F38" s="900"/>
      <c r="G38" s="900"/>
      <c r="H38" s="900"/>
    </row>
    <row r="39" spans="2:8" ht="27.75" customHeight="1">
      <c r="B39" s="112" t="s">
        <v>715</v>
      </c>
      <c r="C39" s="168">
        <f aca="true" t="shared" si="2" ref="C39:H39">C46</f>
        <v>94606</v>
      </c>
      <c r="D39" s="5">
        <f t="shared" si="2"/>
        <v>73629</v>
      </c>
      <c r="E39" s="5">
        <f t="shared" si="2"/>
        <v>43895</v>
      </c>
      <c r="F39" s="5">
        <f t="shared" si="2"/>
        <v>32188</v>
      </c>
      <c r="G39" s="5">
        <f t="shared" si="2"/>
        <v>36625</v>
      </c>
      <c r="H39" s="5">
        <f t="shared" si="2"/>
        <v>25878</v>
      </c>
    </row>
    <row r="40" spans="2:8" ht="12.75" customHeight="1" hidden="1">
      <c r="B40" s="112" t="s">
        <v>711</v>
      </c>
      <c r="C40" s="765">
        <v>94291</v>
      </c>
      <c r="D40" s="900">
        <v>73420</v>
      </c>
      <c r="E40" s="900">
        <v>44325</v>
      </c>
      <c r="F40" s="900">
        <v>32510</v>
      </c>
      <c r="G40" s="900">
        <v>36892</v>
      </c>
      <c r="H40" s="900">
        <v>25894</v>
      </c>
    </row>
    <row r="41" spans="2:8" ht="12.75" customHeight="1" hidden="1">
      <c r="B41" s="122" t="s">
        <v>1333</v>
      </c>
      <c r="C41" s="765"/>
      <c r="D41" s="900"/>
      <c r="E41" s="900"/>
      <c r="F41" s="900"/>
      <c r="G41" s="900"/>
      <c r="H41" s="900"/>
    </row>
    <row r="42" spans="2:8" ht="12.75" customHeight="1" hidden="1">
      <c r="B42" s="112" t="s">
        <v>712</v>
      </c>
      <c r="C42" s="765">
        <v>94348</v>
      </c>
      <c r="D42" s="900">
        <v>73467</v>
      </c>
      <c r="E42" s="900">
        <v>43963</v>
      </c>
      <c r="F42" s="900">
        <v>32323</v>
      </c>
      <c r="G42" s="900">
        <v>36974</v>
      </c>
      <c r="H42" s="900">
        <v>25866</v>
      </c>
    </row>
    <row r="43" spans="2:8" ht="12.75" customHeight="1" hidden="1">
      <c r="B43" s="122" t="s">
        <v>1334</v>
      </c>
      <c r="C43" s="765"/>
      <c r="D43" s="900"/>
      <c r="E43" s="900"/>
      <c r="F43" s="900"/>
      <c r="G43" s="900"/>
      <c r="H43" s="900"/>
    </row>
    <row r="44" spans="2:8" ht="12.75" customHeight="1" hidden="1">
      <c r="B44" s="112" t="s">
        <v>713</v>
      </c>
      <c r="C44" s="765">
        <v>94398</v>
      </c>
      <c r="D44" s="900">
        <v>73561</v>
      </c>
      <c r="E44" s="900">
        <v>44003</v>
      </c>
      <c r="F44" s="900">
        <v>32215</v>
      </c>
      <c r="G44" s="900">
        <v>36662</v>
      </c>
      <c r="H44" s="900">
        <v>25920</v>
      </c>
    </row>
    <row r="45" spans="2:8" ht="12.75" customHeight="1" hidden="1">
      <c r="B45" s="122" t="s">
        <v>1335</v>
      </c>
      <c r="C45" s="884"/>
      <c r="D45" s="879"/>
      <c r="E45" s="879"/>
      <c r="F45" s="879"/>
      <c r="G45" s="879"/>
      <c r="H45" s="879"/>
    </row>
    <row r="46" spans="2:8" ht="12.75" customHeight="1" hidden="1">
      <c r="B46" s="112" t="s">
        <v>714</v>
      </c>
      <c r="C46" s="765">
        <v>94606</v>
      </c>
      <c r="D46" s="900">
        <v>73629</v>
      </c>
      <c r="E46" s="900">
        <v>43895</v>
      </c>
      <c r="F46" s="900">
        <v>32188</v>
      </c>
      <c r="G46" s="900">
        <v>36625</v>
      </c>
      <c r="H46" s="900">
        <v>25878</v>
      </c>
    </row>
    <row r="47" spans="2:8" ht="12.75" customHeight="1" hidden="1">
      <c r="B47" s="122" t="s">
        <v>1336</v>
      </c>
      <c r="C47" s="884"/>
      <c r="D47" s="879"/>
      <c r="E47" s="879"/>
      <c r="F47" s="879"/>
      <c r="G47" s="879"/>
      <c r="H47" s="879"/>
    </row>
    <row r="48" spans="2:8" ht="27.75" customHeight="1">
      <c r="B48" s="112" t="s">
        <v>716</v>
      </c>
      <c r="C48" s="5">
        <v>95383</v>
      </c>
      <c r="D48" s="5">
        <v>74018</v>
      </c>
      <c r="E48" s="5">
        <v>43219</v>
      </c>
      <c r="F48" s="5">
        <v>31924</v>
      </c>
      <c r="G48" s="5">
        <v>36059</v>
      </c>
      <c r="H48" s="5">
        <v>25457</v>
      </c>
    </row>
    <row r="49" spans="2:8" ht="12.75" customHeight="1" hidden="1">
      <c r="B49" s="112" t="s">
        <v>711</v>
      </c>
      <c r="C49" s="765">
        <v>94639</v>
      </c>
      <c r="D49" s="900">
        <v>73614</v>
      </c>
      <c r="E49" s="900">
        <v>43675</v>
      </c>
      <c r="F49" s="900">
        <v>32097</v>
      </c>
      <c r="G49" s="900">
        <v>36513</v>
      </c>
      <c r="H49" s="900">
        <v>25807</v>
      </c>
    </row>
    <row r="50" spans="2:8" ht="12.75" customHeight="1" hidden="1">
      <c r="B50" s="122" t="s">
        <v>1333</v>
      </c>
      <c r="C50" s="765"/>
      <c r="D50" s="900"/>
      <c r="E50" s="900"/>
      <c r="F50" s="900"/>
      <c r="G50" s="900"/>
      <c r="H50" s="900"/>
    </row>
    <row r="51" spans="2:8" ht="12.75" customHeight="1" hidden="1">
      <c r="B51" s="112" t="s">
        <v>712</v>
      </c>
      <c r="C51" s="765">
        <v>94919</v>
      </c>
      <c r="D51" s="900">
        <v>73927</v>
      </c>
      <c r="E51" s="900">
        <v>43533</v>
      </c>
      <c r="F51" s="900">
        <v>32057</v>
      </c>
      <c r="G51" s="900">
        <v>36367</v>
      </c>
      <c r="H51" s="900">
        <v>25677</v>
      </c>
    </row>
    <row r="52" spans="2:8" ht="12.75" customHeight="1" hidden="1">
      <c r="B52" s="122" t="s">
        <v>1334</v>
      </c>
      <c r="C52" s="765"/>
      <c r="D52" s="900"/>
      <c r="E52" s="900"/>
      <c r="F52" s="900"/>
      <c r="G52" s="900"/>
      <c r="H52" s="900"/>
    </row>
    <row r="53" spans="2:8" ht="12.75" customHeight="1" hidden="1">
      <c r="B53" s="112" t="s">
        <v>713</v>
      </c>
      <c r="C53" s="765">
        <v>95110</v>
      </c>
      <c r="D53" s="900">
        <v>73995</v>
      </c>
      <c r="E53" s="900">
        <v>43381</v>
      </c>
      <c r="F53" s="900">
        <v>31991</v>
      </c>
      <c r="G53" s="900">
        <v>36254</v>
      </c>
      <c r="H53" s="900">
        <v>25514</v>
      </c>
    </row>
    <row r="54" spans="2:8" ht="12.75" customHeight="1" hidden="1">
      <c r="B54" s="122" t="s">
        <v>1335</v>
      </c>
      <c r="C54" s="765"/>
      <c r="D54" s="900"/>
      <c r="E54" s="900"/>
      <c r="F54" s="900"/>
      <c r="G54" s="900"/>
      <c r="H54" s="900"/>
    </row>
    <row r="55" spans="2:8" ht="12.75" customHeight="1" hidden="1">
      <c r="B55" s="112" t="s">
        <v>714</v>
      </c>
      <c r="C55" s="765">
        <v>95383</v>
      </c>
      <c r="D55" s="900">
        <v>74018</v>
      </c>
      <c r="E55" s="900">
        <v>43219</v>
      </c>
      <c r="F55" s="900">
        <v>31924</v>
      </c>
      <c r="G55" s="900">
        <v>36059</v>
      </c>
      <c r="H55" s="900">
        <v>25457</v>
      </c>
    </row>
    <row r="56" spans="2:8" ht="12.75" customHeight="1" hidden="1">
      <c r="B56" s="122" t="s">
        <v>1336</v>
      </c>
      <c r="C56" s="765"/>
      <c r="D56" s="900"/>
      <c r="E56" s="900"/>
      <c r="F56" s="900"/>
      <c r="G56" s="900"/>
      <c r="H56" s="900"/>
    </row>
    <row r="57" spans="2:8" ht="27.75" customHeight="1">
      <c r="B57" s="112" t="s">
        <v>717</v>
      </c>
      <c r="C57" s="5">
        <v>96094</v>
      </c>
      <c r="D57" s="5">
        <v>74173</v>
      </c>
      <c r="E57" s="5">
        <v>42915</v>
      </c>
      <c r="F57" s="5">
        <v>31610</v>
      </c>
      <c r="G57" s="5">
        <v>35900</v>
      </c>
      <c r="H57" s="5">
        <v>25271</v>
      </c>
    </row>
    <row r="58" spans="2:8" ht="12.75" customHeight="1" hidden="1">
      <c r="B58" s="112" t="s">
        <v>711</v>
      </c>
      <c r="C58" s="765">
        <v>95579</v>
      </c>
      <c r="D58" s="900">
        <v>74201</v>
      </c>
      <c r="E58" s="900">
        <v>43121</v>
      </c>
      <c r="F58" s="900">
        <v>31842</v>
      </c>
      <c r="G58" s="900">
        <v>35986</v>
      </c>
      <c r="H58" s="900">
        <v>25338</v>
      </c>
    </row>
    <row r="59" spans="2:8" ht="12.75" customHeight="1" hidden="1">
      <c r="B59" s="122" t="s">
        <v>1333</v>
      </c>
      <c r="C59" s="765"/>
      <c r="D59" s="900"/>
      <c r="E59" s="900"/>
      <c r="F59" s="900"/>
      <c r="G59" s="900"/>
      <c r="H59" s="900"/>
    </row>
    <row r="60" spans="2:8" ht="12.75" customHeight="1" hidden="1">
      <c r="B60" s="112" t="s">
        <v>712</v>
      </c>
      <c r="C60" s="765">
        <v>95838</v>
      </c>
      <c r="D60" s="900">
        <v>74253</v>
      </c>
      <c r="E60" s="900">
        <v>43035</v>
      </c>
      <c r="F60" s="900">
        <v>31718</v>
      </c>
      <c r="G60" s="900">
        <v>35957</v>
      </c>
      <c r="H60" s="900">
        <v>25278</v>
      </c>
    </row>
    <row r="61" spans="2:8" ht="12.75" customHeight="1" hidden="1">
      <c r="B61" s="122" t="s">
        <v>1334</v>
      </c>
      <c r="C61" s="765"/>
      <c r="D61" s="900"/>
      <c r="E61" s="900"/>
      <c r="F61" s="900"/>
      <c r="G61" s="900"/>
      <c r="H61" s="900"/>
    </row>
    <row r="62" spans="2:8" ht="12.75" customHeight="1" hidden="1">
      <c r="B62" s="112" t="s">
        <v>713</v>
      </c>
      <c r="C62" s="900">
        <v>95989</v>
      </c>
      <c r="D62" s="900">
        <v>74221</v>
      </c>
      <c r="E62" s="900">
        <v>42899</v>
      </c>
      <c r="F62" s="900">
        <v>31667</v>
      </c>
      <c r="G62" s="900">
        <v>35893</v>
      </c>
      <c r="H62" s="900">
        <v>25282</v>
      </c>
    </row>
    <row r="63" spans="2:8" ht="12.75" customHeight="1" hidden="1">
      <c r="B63" s="122" t="s">
        <v>1335</v>
      </c>
      <c r="C63" s="900"/>
      <c r="D63" s="900"/>
      <c r="E63" s="900"/>
      <c r="F63" s="900"/>
      <c r="G63" s="900"/>
      <c r="H63" s="900"/>
    </row>
    <row r="64" spans="2:8" ht="12.75" customHeight="1" hidden="1">
      <c r="B64" s="112" t="s">
        <v>714</v>
      </c>
      <c r="C64" s="765">
        <v>96094</v>
      </c>
      <c r="D64" s="900">
        <v>74173</v>
      </c>
      <c r="E64" s="900">
        <v>42915</v>
      </c>
      <c r="F64" s="900">
        <v>31610</v>
      </c>
      <c r="G64" s="900">
        <v>35900</v>
      </c>
      <c r="H64" s="900">
        <v>25271</v>
      </c>
    </row>
    <row r="65" spans="2:8" ht="12.75" customHeight="1" hidden="1">
      <c r="B65" s="122" t="s">
        <v>1336</v>
      </c>
      <c r="C65" s="765"/>
      <c r="D65" s="900"/>
      <c r="E65" s="900"/>
      <c r="F65" s="900"/>
      <c r="G65" s="900"/>
      <c r="H65" s="900"/>
    </row>
    <row r="66" spans="2:8" ht="27.75" customHeight="1">
      <c r="B66" s="112" t="s">
        <v>718</v>
      </c>
      <c r="C66" s="168">
        <v>95874</v>
      </c>
      <c r="D66" s="5">
        <v>73722</v>
      </c>
      <c r="E66" s="5">
        <v>43665</v>
      </c>
      <c r="F66" s="5">
        <v>31300</v>
      </c>
      <c r="G66" s="5">
        <v>35940</v>
      </c>
      <c r="H66" s="5">
        <v>25072</v>
      </c>
    </row>
    <row r="67" spans="2:8" ht="12.75" customHeight="1" hidden="1">
      <c r="B67" s="112" t="s">
        <v>711</v>
      </c>
      <c r="C67" s="765">
        <v>96122</v>
      </c>
      <c r="D67" s="900">
        <v>74123</v>
      </c>
      <c r="E67" s="900">
        <v>43164</v>
      </c>
      <c r="F67" s="900">
        <v>31534</v>
      </c>
      <c r="G67" s="900">
        <v>35877</v>
      </c>
      <c r="H67" s="900">
        <v>25169</v>
      </c>
    </row>
    <row r="68" spans="2:8" ht="12.75" customHeight="1" hidden="1">
      <c r="B68" s="122" t="s">
        <v>1333</v>
      </c>
      <c r="C68" s="765"/>
      <c r="D68" s="900"/>
      <c r="E68" s="900"/>
      <c r="F68" s="900"/>
      <c r="G68" s="900"/>
      <c r="H68" s="900"/>
    </row>
    <row r="69" spans="2:8" ht="12.75" customHeight="1" hidden="1">
      <c r="B69" s="112" t="s">
        <v>712</v>
      </c>
      <c r="C69" s="765">
        <v>96123</v>
      </c>
      <c r="D69" s="900">
        <v>74069</v>
      </c>
      <c r="E69" s="900">
        <v>43678</v>
      </c>
      <c r="F69" s="900">
        <v>31468</v>
      </c>
      <c r="G69" s="900">
        <v>35925</v>
      </c>
      <c r="H69" s="900">
        <v>25085</v>
      </c>
    </row>
    <row r="70" spans="2:8" ht="12.75" customHeight="1" hidden="1">
      <c r="B70" s="122" t="s">
        <v>1334</v>
      </c>
      <c r="C70" s="765"/>
      <c r="D70" s="900"/>
      <c r="E70" s="900"/>
      <c r="F70" s="900"/>
      <c r="G70" s="900"/>
      <c r="H70" s="900"/>
    </row>
    <row r="71" spans="2:8" ht="13.5" customHeight="1" hidden="1">
      <c r="B71" s="112" t="s">
        <v>713</v>
      </c>
      <c r="C71" s="765">
        <v>95893</v>
      </c>
      <c r="D71" s="900">
        <v>74006</v>
      </c>
      <c r="E71" s="900">
        <v>43746</v>
      </c>
      <c r="F71" s="900">
        <v>31405</v>
      </c>
      <c r="G71" s="900">
        <v>35915</v>
      </c>
      <c r="H71" s="900">
        <v>25104</v>
      </c>
    </row>
    <row r="72" spans="2:8" ht="13.5" customHeight="1" hidden="1">
      <c r="B72" s="122" t="s">
        <v>1335</v>
      </c>
      <c r="C72" s="765"/>
      <c r="D72" s="900"/>
      <c r="E72" s="900"/>
      <c r="F72" s="900"/>
      <c r="G72" s="900"/>
      <c r="H72" s="900"/>
    </row>
    <row r="73" spans="2:8" ht="13.5" customHeight="1" hidden="1">
      <c r="B73" s="112" t="s">
        <v>714</v>
      </c>
      <c r="C73" s="765">
        <v>95874</v>
      </c>
      <c r="D73" s="900">
        <v>73722</v>
      </c>
      <c r="E73" s="900">
        <v>43665</v>
      </c>
      <c r="F73" s="900">
        <v>31300</v>
      </c>
      <c r="G73" s="900">
        <v>35940</v>
      </c>
      <c r="H73" s="900">
        <v>25072</v>
      </c>
    </row>
    <row r="74" spans="2:8" ht="13.5" customHeight="1" hidden="1">
      <c r="B74" s="122" t="s">
        <v>1336</v>
      </c>
      <c r="C74" s="765"/>
      <c r="D74" s="900"/>
      <c r="E74" s="900"/>
      <c r="F74" s="900"/>
      <c r="G74" s="900"/>
      <c r="H74" s="900"/>
    </row>
    <row r="75" spans="2:8" ht="27.75" customHeight="1">
      <c r="B75" s="112" t="s">
        <v>719</v>
      </c>
      <c r="C75" s="168">
        <v>95831</v>
      </c>
      <c r="D75" s="5">
        <v>73038</v>
      </c>
      <c r="E75" s="5">
        <v>43305</v>
      </c>
      <c r="F75" s="5">
        <v>31161</v>
      </c>
      <c r="G75" s="5">
        <v>35895</v>
      </c>
      <c r="H75" s="5">
        <v>25109</v>
      </c>
    </row>
    <row r="76" spans="2:8" ht="13.5" customHeight="1" hidden="1">
      <c r="B76" s="112" t="s">
        <v>711</v>
      </c>
      <c r="C76" s="765">
        <v>95851</v>
      </c>
      <c r="D76" s="900">
        <v>73531</v>
      </c>
      <c r="E76" s="900">
        <v>43491</v>
      </c>
      <c r="F76" s="900">
        <v>31224</v>
      </c>
      <c r="G76" s="900">
        <v>35895</v>
      </c>
      <c r="H76" s="900">
        <v>25095</v>
      </c>
    </row>
    <row r="77" spans="2:8" ht="13.5" customHeight="1" hidden="1">
      <c r="B77" s="122" t="s">
        <v>1333</v>
      </c>
      <c r="C77" s="765"/>
      <c r="D77" s="900"/>
      <c r="E77" s="900"/>
      <c r="F77" s="900"/>
      <c r="G77" s="900"/>
      <c r="H77" s="900"/>
    </row>
    <row r="78" spans="2:8" ht="15" customHeight="1" hidden="1">
      <c r="B78" s="112" t="s">
        <v>712</v>
      </c>
      <c r="C78" s="765">
        <v>96066</v>
      </c>
      <c r="D78" s="900">
        <v>72991</v>
      </c>
      <c r="E78" s="900">
        <v>43353</v>
      </c>
      <c r="F78" s="900">
        <v>31082</v>
      </c>
      <c r="G78" s="900">
        <v>35668</v>
      </c>
      <c r="H78" s="900">
        <v>24992</v>
      </c>
    </row>
    <row r="79" spans="2:8" ht="15" customHeight="1" hidden="1">
      <c r="B79" s="122" t="s">
        <v>1334</v>
      </c>
      <c r="C79" s="765"/>
      <c r="D79" s="900"/>
      <c r="E79" s="900"/>
      <c r="F79" s="900"/>
      <c r="G79" s="900"/>
      <c r="H79" s="900"/>
    </row>
    <row r="80" spans="2:8" ht="15" customHeight="1" hidden="1">
      <c r="B80" s="112" t="s">
        <v>713</v>
      </c>
      <c r="C80" s="765">
        <v>95863</v>
      </c>
      <c r="D80" s="900">
        <v>73180</v>
      </c>
      <c r="E80" s="900">
        <v>43283</v>
      </c>
      <c r="F80" s="900">
        <v>31124</v>
      </c>
      <c r="G80" s="900">
        <v>35824</v>
      </c>
      <c r="H80" s="900">
        <v>25134</v>
      </c>
    </row>
    <row r="81" spans="2:8" ht="15" customHeight="1" hidden="1">
      <c r="B81" s="122" t="s">
        <v>1335</v>
      </c>
      <c r="C81" s="765"/>
      <c r="D81" s="900"/>
      <c r="E81" s="900"/>
      <c r="F81" s="900"/>
      <c r="G81" s="900"/>
      <c r="H81" s="900"/>
    </row>
    <row r="82" spans="2:8" ht="15" customHeight="1">
      <c r="B82" s="112" t="s">
        <v>714</v>
      </c>
      <c r="C82" s="765">
        <v>95831</v>
      </c>
      <c r="D82" s="900">
        <v>73038</v>
      </c>
      <c r="E82" s="900">
        <v>43305</v>
      </c>
      <c r="F82" s="900">
        <v>31161</v>
      </c>
      <c r="G82" s="900">
        <v>35895</v>
      </c>
      <c r="H82" s="900">
        <v>25109</v>
      </c>
    </row>
    <row r="83" spans="2:8" ht="15" customHeight="1">
      <c r="B83" s="122" t="s">
        <v>1336</v>
      </c>
      <c r="C83" s="765"/>
      <c r="D83" s="900"/>
      <c r="E83" s="900"/>
      <c r="F83" s="900"/>
      <c r="G83" s="900"/>
      <c r="H83" s="900"/>
    </row>
    <row r="84" spans="2:8" s="582" customFormat="1" ht="29.25" customHeight="1">
      <c r="B84" s="580" t="s">
        <v>652</v>
      </c>
      <c r="C84" s="618"/>
      <c r="D84" s="619"/>
      <c r="E84" s="619"/>
      <c r="F84" s="619"/>
      <c r="G84" s="619"/>
      <c r="H84" s="619"/>
    </row>
    <row r="85" spans="2:10" s="582" customFormat="1" ht="15" customHeight="1">
      <c r="B85" s="580" t="s">
        <v>654</v>
      </c>
      <c r="C85" s="824">
        <v>95862</v>
      </c>
      <c r="D85" s="830">
        <v>72975</v>
      </c>
      <c r="E85" s="830">
        <v>43383</v>
      </c>
      <c r="F85" s="830">
        <v>31134</v>
      </c>
      <c r="G85" s="830">
        <v>35923</v>
      </c>
      <c r="H85" s="830">
        <v>25159</v>
      </c>
      <c r="I85" s="620"/>
      <c r="J85" s="620"/>
    </row>
    <row r="86" spans="2:10" s="582" customFormat="1" ht="15" customHeight="1">
      <c r="B86" s="583" t="s">
        <v>1333</v>
      </c>
      <c r="C86" s="824"/>
      <c r="D86" s="830"/>
      <c r="E86" s="830"/>
      <c r="F86" s="830"/>
      <c r="G86" s="830"/>
      <c r="H86" s="830"/>
      <c r="I86" s="620"/>
      <c r="J86" s="620"/>
    </row>
    <row r="87" spans="2:10" s="582" customFormat="1" ht="15" customHeight="1">
      <c r="B87" s="666" t="s">
        <v>712</v>
      </c>
      <c r="C87" s="803">
        <v>95637</v>
      </c>
      <c r="D87" s="894">
        <v>72925</v>
      </c>
      <c r="E87" s="894">
        <v>43178</v>
      </c>
      <c r="F87" s="894">
        <v>31004</v>
      </c>
      <c r="G87" s="894">
        <v>35803</v>
      </c>
      <c r="H87" s="894">
        <v>25083</v>
      </c>
      <c r="I87" s="674"/>
      <c r="J87" s="620"/>
    </row>
    <row r="88" spans="2:10" s="582" customFormat="1" ht="15" customHeight="1">
      <c r="B88" s="667" t="s">
        <v>1334</v>
      </c>
      <c r="C88" s="803"/>
      <c r="D88" s="894"/>
      <c r="E88" s="894"/>
      <c r="F88" s="894"/>
      <c r="G88" s="894"/>
      <c r="H88" s="894"/>
      <c r="I88" s="674"/>
      <c r="J88" s="620"/>
    </row>
    <row r="89" spans="2:10" s="582" customFormat="1" ht="15" customHeight="1">
      <c r="B89" s="112" t="s">
        <v>713</v>
      </c>
      <c r="C89" s="803">
        <v>95643</v>
      </c>
      <c r="D89" s="894">
        <v>72973</v>
      </c>
      <c r="E89" s="894">
        <v>43091</v>
      </c>
      <c r="F89" s="894">
        <v>30961</v>
      </c>
      <c r="G89" s="894">
        <v>35860</v>
      </c>
      <c r="H89" s="894">
        <v>25029</v>
      </c>
      <c r="I89" s="674"/>
      <c r="J89" s="620"/>
    </row>
    <row r="90" spans="2:10" s="582" customFormat="1" ht="15" customHeight="1">
      <c r="B90" s="122" t="s">
        <v>1335</v>
      </c>
      <c r="C90" s="803"/>
      <c r="D90" s="894"/>
      <c r="E90" s="894"/>
      <c r="F90" s="894"/>
      <c r="G90" s="894"/>
      <c r="H90" s="894"/>
      <c r="I90" s="674"/>
      <c r="J90" s="620"/>
    </row>
    <row r="91" spans="2:10" s="582" customFormat="1" ht="15" customHeight="1">
      <c r="B91" s="112" t="s">
        <v>714</v>
      </c>
      <c r="C91" s="803">
        <v>95568</v>
      </c>
      <c r="D91" s="833">
        <v>72958</v>
      </c>
      <c r="E91" s="833">
        <v>42986</v>
      </c>
      <c r="F91" s="833">
        <v>30899</v>
      </c>
      <c r="G91" s="833">
        <v>35876</v>
      </c>
      <c r="H91" s="833">
        <v>25004</v>
      </c>
      <c r="I91" s="674"/>
      <c r="J91" s="620"/>
    </row>
    <row r="92" spans="2:10" s="582" customFormat="1" ht="15" customHeight="1" thickBot="1">
      <c r="B92" s="122" t="s">
        <v>1336</v>
      </c>
      <c r="C92" s="805"/>
      <c r="D92" s="832"/>
      <c r="E92" s="832"/>
      <c r="F92" s="832"/>
      <c r="G92" s="832"/>
      <c r="H92" s="832"/>
      <c r="I92" s="674"/>
      <c r="J92" s="620"/>
    </row>
    <row r="93" spans="2:9" s="582" customFormat="1" ht="24" customHeight="1">
      <c r="B93" s="584" t="s">
        <v>656</v>
      </c>
      <c r="C93" s="750">
        <f aca="true" t="shared" si="3" ref="C93:H93">(C91-C89)/C89*100</f>
        <v>-0.07841661177503842</v>
      </c>
      <c r="D93" s="844">
        <f t="shared" si="3"/>
        <v>-0.02055554794238965</v>
      </c>
      <c r="E93" s="844">
        <f t="shared" si="3"/>
        <v>-0.2436703720034346</v>
      </c>
      <c r="F93" s="844">
        <f t="shared" si="3"/>
        <v>-0.20025192984722714</v>
      </c>
      <c r="G93" s="844">
        <f t="shared" si="3"/>
        <v>0.04461795872838818</v>
      </c>
      <c r="H93" s="844">
        <f t="shared" si="3"/>
        <v>-0.09988413440409126</v>
      </c>
      <c r="I93" s="225"/>
    </row>
    <row r="94" spans="2:9" s="582" customFormat="1" ht="24" customHeight="1" thickBot="1">
      <c r="B94" s="585" t="s">
        <v>864</v>
      </c>
      <c r="C94" s="751"/>
      <c r="D94" s="752"/>
      <c r="E94" s="752"/>
      <c r="F94" s="752"/>
      <c r="G94" s="752"/>
      <c r="H94" s="752"/>
      <c r="I94" s="225"/>
    </row>
    <row r="95" spans="2:9" s="582" customFormat="1" ht="24" customHeight="1">
      <c r="B95" s="584" t="s">
        <v>865</v>
      </c>
      <c r="C95" s="750">
        <f aca="true" t="shared" si="4" ref="C95:H95">(C91-C82)/C82*100</f>
        <v>-0.2744414646617483</v>
      </c>
      <c r="D95" s="844">
        <f t="shared" si="4"/>
        <v>-0.10953202442564144</v>
      </c>
      <c r="E95" s="844">
        <f t="shared" si="4"/>
        <v>-0.7366354924373629</v>
      </c>
      <c r="F95" s="844">
        <f t="shared" si="4"/>
        <v>-0.840794582972305</v>
      </c>
      <c r="G95" s="844">
        <f t="shared" si="4"/>
        <v>-0.052932163253935086</v>
      </c>
      <c r="H95" s="844">
        <f t="shared" si="4"/>
        <v>-0.41817674937273486</v>
      </c>
      <c r="I95" s="672"/>
    </row>
    <row r="96" spans="2:9" s="582" customFormat="1" ht="24" customHeight="1" thickBot="1">
      <c r="B96" s="585" t="s">
        <v>866</v>
      </c>
      <c r="C96" s="754"/>
      <c r="D96" s="839"/>
      <c r="E96" s="839"/>
      <c r="F96" s="839"/>
      <c r="G96" s="839"/>
      <c r="H96" s="839"/>
      <c r="I96" s="672"/>
    </row>
    <row r="97" ht="21.75" customHeight="1">
      <c r="B97" s="113" t="s">
        <v>721</v>
      </c>
    </row>
    <row r="98" spans="1:9" ht="24.75" customHeight="1">
      <c r="A98" s="899" t="s">
        <v>867</v>
      </c>
      <c r="B98" s="899"/>
      <c r="C98" s="899"/>
      <c r="D98" s="899"/>
      <c r="E98" s="899"/>
      <c r="F98" s="899"/>
      <c r="G98" s="899"/>
      <c r="H98" s="899"/>
      <c r="I98" s="899"/>
    </row>
    <row r="99" spans="1:9" ht="24.75" customHeight="1">
      <c r="A99" s="897" t="s">
        <v>868</v>
      </c>
      <c r="B99" s="897"/>
      <c r="C99" s="897"/>
      <c r="D99" s="897"/>
      <c r="E99" s="897"/>
      <c r="F99" s="897"/>
      <c r="G99" s="897"/>
      <c r="H99" s="897"/>
      <c r="I99" s="897"/>
    </row>
    <row r="100" spans="1:9" ht="24.75" customHeight="1" thickBot="1">
      <c r="A100" s="898" t="s">
        <v>869</v>
      </c>
      <c r="B100" s="898"/>
      <c r="C100" s="898"/>
      <c r="D100" s="898"/>
      <c r="E100" s="898"/>
      <c r="F100" s="898"/>
      <c r="G100" s="898"/>
      <c r="H100" s="898"/>
      <c r="I100" s="898"/>
    </row>
    <row r="101" spans="2:8" s="189" customFormat="1" ht="39.75" customHeight="1">
      <c r="B101" s="137" t="s">
        <v>543</v>
      </c>
      <c r="C101" s="136" t="s">
        <v>1349</v>
      </c>
      <c r="D101" s="136" t="s">
        <v>1350</v>
      </c>
      <c r="E101" s="136" t="s">
        <v>1351</v>
      </c>
      <c r="F101" s="136" t="s">
        <v>1352</v>
      </c>
      <c r="G101" s="136" t="s">
        <v>1353</v>
      </c>
      <c r="H101" s="136" t="s">
        <v>1354</v>
      </c>
    </row>
    <row r="102" spans="2:8" s="206" customFormat="1" ht="39.75" customHeight="1" thickBot="1">
      <c r="B102" s="142" t="s">
        <v>862</v>
      </c>
      <c r="C102" s="178" t="s">
        <v>544</v>
      </c>
      <c r="D102" s="200" t="s">
        <v>1364</v>
      </c>
      <c r="E102" s="203" t="s">
        <v>870</v>
      </c>
      <c r="F102" s="203" t="s">
        <v>871</v>
      </c>
      <c r="G102" s="203" t="s">
        <v>872</v>
      </c>
      <c r="H102" s="207" t="s">
        <v>873</v>
      </c>
    </row>
    <row r="103" spans="2:10" ht="28.5" customHeight="1" hidden="1">
      <c r="B103" s="115" t="s">
        <v>532</v>
      </c>
      <c r="C103" s="5">
        <v>32771</v>
      </c>
      <c r="D103" s="5">
        <v>51430</v>
      </c>
      <c r="E103" s="5">
        <v>37995</v>
      </c>
      <c r="F103" s="5">
        <v>23315</v>
      </c>
      <c r="G103" s="5">
        <v>5612</v>
      </c>
      <c r="H103" s="5">
        <v>6028</v>
      </c>
      <c r="J103" s="49"/>
    </row>
    <row r="104" spans="2:10" ht="28.5" customHeight="1" hidden="1">
      <c r="B104" s="112" t="s">
        <v>700</v>
      </c>
      <c r="C104" s="5">
        <v>32953</v>
      </c>
      <c r="D104" s="5">
        <v>51645</v>
      </c>
      <c r="E104" s="5">
        <v>38420</v>
      </c>
      <c r="F104" s="5">
        <v>22727</v>
      </c>
      <c r="G104" s="5">
        <v>5644</v>
      </c>
      <c r="H104" s="5">
        <v>5916</v>
      </c>
      <c r="J104" s="49"/>
    </row>
    <row r="105" spans="2:8" ht="28.5" customHeight="1" hidden="1">
      <c r="B105" s="112" t="s">
        <v>702</v>
      </c>
      <c r="C105" s="5">
        <v>33080</v>
      </c>
      <c r="D105" s="5">
        <v>51772</v>
      </c>
      <c r="E105" s="5">
        <v>38406</v>
      </c>
      <c r="F105" s="5">
        <v>22602</v>
      </c>
      <c r="G105" s="5">
        <v>5648</v>
      </c>
      <c r="H105" s="5">
        <v>5979</v>
      </c>
    </row>
    <row r="106" spans="2:8" ht="22.5" customHeight="1" hidden="1">
      <c r="B106" s="122"/>
      <c r="C106" s="5"/>
      <c r="D106" s="5"/>
      <c r="E106" s="5"/>
      <c r="F106" s="5"/>
      <c r="G106" s="5"/>
      <c r="H106" s="5"/>
    </row>
    <row r="107" spans="2:8" ht="21" customHeight="1" hidden="1">
      <c r="B107" s="112" t="s">
        <v>703</v>
      </c>
      <c r="C107" s="5">
        <v>33819</v>
      </c>
      <c r="D107" s="5">
        <v>51828</v>
      </c>
      <c r="E107" s="5">
        <v>38233</v>
      </c>
      <c r="F107" s="5">
        <v>22778</v>
      </c>
      <c r="G107" s="5">
        <v>5708</v>
      </c>
      <c r="H107" s="5">
        <v>5922</v>
      </c>
    </row>
    <row r="108" spans="2:8" ht="21" customHeight="1" hidden="1">
      <c r="B108" s="112" t="s">
        <v>704</v>
      </c>
      <c r="C108" s="5">
        <v>33919</v>
      </c>
      <c r="D108" s="5">
        <v>51926</v>
      </c>
      <c r="E108" s="5">
        <v>38827</v>
      </c>
      <c r="F108" s="5">
        <v>22479</v>
      </c>
      <c r="G108" s="5">
        <v>5687</v>
      </c>
      <c r="H108" s="5">
        <v>5864</v>
      </c>
    </row>
    <row r="109" spans="2:8" ht="27.75" customHeight="1" hidden="1">
      <c r="B109" s="112" t="s">
        <v>705</v>
      </c>
      <c r="C109" s="5">
        <v>33971</v>
      </c>
      <c r="D109" s="5">
        <v>51723</v>
      </c>
      <c r="E109" s="5">
        <v>39123</v>
      </c>
      <c r="F109" s="5">
        <v>22333</v>
      </c>
      <c r="G109" s="5">
        <v>5699</v>
      </c>
      <c r="H109" s="5">
        <v>5827</v>
      </c>
    </row>
    <row r="110" spans="2:8" ht="27.75" customHeight="1">
      <c r="B110" s="112" t="s">
        <v>706</v>
      </c>
      <c r="C110" s="5">
        <v>33932</v>
      </c>
      <c r="D110" s="5">
        <v>51739</v>
      </c>
      <c r="E110" s="5">
        <v>39393</v>
      </c>
      <c r="F110" s="5">
        <v>22142</v>
      </c>
      <c r="G110" s="5">
        <v>5684</v>
      </c>
      <c r="H110" s="5">
        <v>5814</v>
      </c>
    </row>
    <row r="111" spans="2:8" ht="27.75" customHeight="1">
      <c r="B111" s="112" t="s">
        <v>707</v>
      </c>
      <c r="C111" s="5">
        <v>34153</v>
      </c>
      <c r="D111" s="5">
        <v>51313</v>
      </c>
      <c r="E111" s="158">
        <v>39034</v>
      </c>
      <c r="F111" s="158">
        <v>22265</v>
      </c>
      <c r="G111" s="158">
        <v>5901</v>
      </c>
      <c r="H111" s="158">
        <v>5927</v>
      </c>
    </row>
    <row r="112" spans="2:8" ht="27.75" customHeight="1">
      <c r="B112" s="112" t="s">
        <v>708</v>
      </c>
      <c r="C112" s="5">
        <v>33566</v>
      </c>
      <c r="D112" s="5">
        <v>51382</v>
      </c>
      <c r="E112" s="158">
        <v>38897</v>
      </c>
      <c r="F112" s="158">
        <v>21999</v>
      </c>
      <c r="G112" s="158">
        <v>5842</v>
      </c>
      <c r="H112" s="158">
        <v>5907</v>
      </c>
    </row>
    <row r="113" spans="2:8" ht="21" customHeight="1" hidden="1">
      <c r="B113" s="121" t="s">
        <v>527</v>
      </c>
      <c r="C113" s="5">
        <v>33997</v>
      </c>
      <c r="D113" s="5">
        <v>51400</v>
      </c>
      <c r="E113" s="158">
        <v>39008</v>
      </c>
      <c r="F113" s="158">
        <v>22746</v>
      </c>
      <c r="G113" s="158">
        <v>5983</v>
      </c>
      <c r="H113" s="158">
        <v>6059</v>
      </c>
    </row>
    <row r="114" spans="2:8" ht="21" customHeight="1" hidden="1">
      <c r="B114" s="121" t="s">
        <v>528</v>
      </c>
      <c r="C114" s="5">
        <v>33800</v>
      </c>
      <c r="D114" s="5">
        <v>51409</v>
      </c>
      <c r="E114" s="158">
        <v>38986</v>
      </c>
      <c r="F114" s="158">
        <v>22394</v>
      </c>
      <c r="G114" s="158">
        <v>5953</v>
      </c>
      <c r="H114" s="158">
        <v>6011</v>
      </c>
    </row>
    <row r="115" spans="2:8" ht="21" customHeight="1" hidden="1">
      <c r="B115" s="121" t="s">
        <v>529</v>
      </c>
      <c r="C115" s="5">
        <v>33675</v>
      </c>
      <c r="D115" s="5">
        <v>51483</v>
      </c>
      <c r="E115" s="158">
        <v>38953</v>
      </c>
      <c r="F115" s="158">
        <v>22148</v>
      </c>
      <c r="G115" s="158">
        <v>5879</v>
      </c>
      <c r="H115" s="158">
        <v>5945</v>
      </c>
    </row>
    <row r="116" spans="2:8" ht="21" customHeight="1" hidden="1">
      <c r="B116" s="121" t="s">
        <v>530</v>
      </c>
      <c r="C116" s="5">
        <v>33566</v>
      </c>
      <c r="D116" s="5">
        <v>51382</v>
      </c>
      <c r="E116" s="158">
        <v>38897</v>
      </c>
      <c r="F116" s="158">
        <v>21999</v>
      </c>
      <c r="G116" s="158">
        <v>5842</v>
      </c>
      <c r="H116" s="158">
        <v>5907</v>
      </c>
    </row>
    <row r="117" spans="2:8" ht="27.75" customHeight="1">
      <c r="B117" s="112" t="s">
        <v>709</v>
      </c>
      <c r="C117" s="30">
        <f aca="true" t="shared" si="5" ref="C117:H117">C124</f>
        <v>33254</v>
      </c>
      <c r="D117" s="30">
        <f t="shared" si="5"/>
        <v>50988</v>
      </c>
      <c r="E117" s="30">
        <f t="shared" si="5"/>
        <v>38468</v>
      </c>
      <c r="F117" s="30">
        <f t="shared" si="5"/>
        <v>21734</v>
      </c>
      <c r="G117" s="30">
        <f t="shared" si="5"/>
        <v>5788</v>
      </c>
      <c r="H117" s="30">
        <f t="shared" si="5"/>
        <v>5916</v>
      </c>
    </row>
    <row r="118" spans="2:8" ht="21" customHeight="1" hidden="1">
      <c r="B118" s="112" t="s">
        <v>527</v>
      </c>
      <c r="C118" s="765">
        <v>33473</v>
      </c>
      <c r="D118" s="900">
        <v>51218</v>
      </c>
      <c r="E118" s="900">
        <v>38817</v>
      </c>
      <c r="F118" s="900">
        <v>21891</v>
      </c>
      <c r="G118" s="900">
        <v>5803</v>
      </c>
      <c r="H118" s="900">
        <v>5904</v>
      </c>
    </row>
    <row r="119" spans="2:8" ht="21" customHeight="1" hidden="1">
      <c r="B119" s="122" t="s">
        <v>1333</v>
      </c>
      <c r="C119" s="765"/>
      <c r="D119" s="900"/>
      <c r="E119" s="900"/>
      <c r="F119" s="900"/>
      <c r="G119" s="900"/>
      <c r="H119" s="900"/>
    </row>
    <row r="120" spans="2:8" ht="21" customHeight="1" hidden="1">
      <c r="B120" s="112" t="s">
        <v>528</v>
      </c>
      <c r="C120" s="765">
        <v>33306</v>
      </c>
      <c r="D120" s="900">
        <v>51110</v>
      </c>
      <c r="E120" s="900">
        <v>38668</v>
      </c>
      <c r="F120" s="900">
        <v>21786</v>
      </c>
      <c r="G120" s="900">
        <v>5779</v>
      </c>
      <c r="H120" s="900">
        <v>5893</v>
      </c>
    </row>
    <row r="121" spans="2:8" ht="21" customHeight="1" hidden="1">
      <c r="B121" s="122" t="s">
        <v>1334</v>
      </c>
      <c r="C121" s="765"/>
      <c r="D121" s="900"/>
      <c r="E121" s="900"/>
      <c r="F121" s="900"/>
      <c r="G121" s="900"/>
      <c r="H121" s="900"/>
    </row>
    <row r="122" spans="2:8" ht="21" customHeight="1" hidden="1">
      <c r="B122" s="112" t="s">
        <v>529</v>
      </c>
      <c r="C122" s="765">
        <v>33281</v>
      </c>
      <c r="D122" s="900">
        <v>51066</v>
      </c>
      <c r="E122" s="900">
        <v>38499</v>
      </c>
      <c r="F122" s="900">
        <v>21720</v>
      </c>
      <c r="G122" s="900">
        <v>5779</v>
      </c>
      <c r="H122" s="900">
        <v>5913</v>
      </c>
    </row>
    <row r="123" spans="2:8" ht="21" customHeight="1" hidden="1">
      <c r="B123" s="122" t="s">
        <v>1335</v>
      </c>
      <c r="C123" s="765"/>
      <c r="D123" s="900"/>
      <c r="E123" s="900"/>
      <c r="F123" s="900"/>
      <c r="G123" s="900"/>
      <c r="H123" s="900"/>
    </row>
    <row r="124" spans="2:8" ht="21" customHeight="1" hidden="1">
      <c r="B124" s="112" t="s">
        <v>530</v>
      </c>
      <c r="C124" s="765">
        <v>33254</v>
      </c>
      <c r="D124" s="900">
        <v>50988</v>
      </c>
      <c r="E124" s="900">
        <v>38468</v>
      </c>
      <c r="F124" s="900">
        <v>21734</v>
      </c>
      <c r="G124" s="900">
        <v>5788</v>
      </c>
      <c r="H124" s="900">
        <v>5916</v>
      </c>
    </row>
    <row r="125" spans="2:8" ht="21" customHeight="1" hidden="1">
      <c r="B125" s="122" t="s">
        <v>1336</v>
      </c>
      <c r="C125" s="765"/>
      <c r="D125" s="900"/>
      <c r="E125" s="900"/>
      <c r="F125" s="900"/>
      <c r="G125" s="900"/>
      <c r="H125" s="900"/>
    </row>
    <row r="126" spans="2:8" ht="27.75" customHeight="1">
      <c r="B126" s="112" t="s">
        <v>710</v>
      </c>
      <c r="C126" s="168">
        <f aca="true" t="shared" si="6" ref="C126:H126">C133</f>
        <v>32833</v>
      </c>
      <c r="D126" s="158">
        <f t="shared" si="6"/>
        <v>50754</v>
      </c>
      <c r="E126" s="158">
        <f t="shared" si="6"/>
        <v>38047</v>
      </c>
      <c r="F126" s="158">
        <f t="shared" si="6"/>
        <v>21530</v>
      </c>
      <c r="G126" s="158">
        <f t="shared" si="6"/>
        <v>5772</v>
      </c>
      <c r="H126" s="158">
        <f t="shared" si="6"/>
        <v>5878</v>
      </c>
    </row>
    <row r="127" spans="2:8" ht="21" customHeight="1" hidden="1">
      <c r="B127" s="112" t="s">
        <v>711</v>
      </c>
      <c r="C127" s="765">
        <v>33131</v>
      </c>
      <c r="D127" s="900">
        <v>50904</v>
      </c>
      <c r="E127" s="900">
        <v>38301</v>
      </c>
      <c r="F127" s="900">
        <v>21691</v>
      </c>
      <c r="G127" s="900">
        <v>5726</v>
      </c>
      <c r="H127" s="900">
        <v>5895</v>
      </c>
    </row>
    <row r="128" spans="2:8" ht="21" customHeight="1" hidden="1">
      <c r="B128" s="122" t="s">
        <v>1333</v>
      </c>
      <c r="C128" s="884"/>
      <c r="D128" s="879"/>
      <c r="E128" s="879"/>
      <c r="F128" s="879"/>
      <c r="G128" s="879"/>
      <c r="H128" s="879"/>
    </row>
    <row r="129" spans="2:8" ht="21" customHeight="1" hidden="1">
      <c r="B129" s="112" t="s">
        <v>712</v>
      </c>
      <c r="C129" s="765">
        <v>33061</v>
      </c>
      <c r="D129" s="900">
        <v>50773</v>
      </c>
      <c r="E129" s="900">
        <v>38151</v>
      </c>
      <c r="F129" s="900">
        <v>21593</v>
      </c>
      <c r="G129" s="900">
        <v>5708</v>
      </c>
      <c r="H129" s="900">
        <v>5866</v>
      </c>
    </row>
    <row r="130" spans="2:8" ht="21" customHeight="1" hidden="1">
      <c r="B130" s="122" t="s">
        <v>1334</v>
      </c>
      <c r="C130" s="765"/>
      <c r="D130" s="900"/>
      <c r="E130" s="900"/>
      <c r="F130" s="900"/>
      <c r="G130" s="900"/>
      <c r="H130" s="900"/>
    </row>
    <row r="131" spans="2:12" ht="21" customHeight="1" hidden="1">
      <c r="B131" s="112" t="s">
        <v>713</v>
      </c>
      <c r="C131" s="753">
        <v>3156</v>
      </c>
      <c r="D131" s="900">
        <v>7847</v>
      </c>
      <c r="E131" s="900">
        <f>SUM(E132:E139)</f>
        <v>151356</v>
      </c>
      <c r="F131" s="900">
        <v>21549</v>
      </c>
      <c r="G131" s="900">
        <v>5747</v>
      </c>
      <c r="H131" s="900">
        <v>5873</v>
      </c>
      <c r="L131" s="3">
        <f>SUM(L132:L139)</f>
        <v>0</v>
      </c>
    </row>
    <row r="132" spans="2:8" ht="21" customHeight="1" hidden="1">
      <c r="B132" s="122" t="s">
        <v>1335</v>
      </c>
      <c r="C132" s="765"/>
      <c r="D132" s="900"/>
      <c r="E132" s="900"/>
      <c r="F132" s="900"/>
      <c r="G132" s="900"/>
      <c r="H132" s="900"/>
    </row>
    <row r="133" spans="2:8" ht="21" customHeight="1" hidden="1">
      <c r="B133" s="112" t="s">
        <v>714</v>
      </c>
      <c r="C133" s="765">
        <v>32833</v>
      </c>
      <c r="D133" s="900">
        <v>50754</v>
      </c>
      <c r="E133" s="900">
        <v>38047</v>
      </c>
      <c r="F133" s="900">
        <v>21530</v>
      </c>
      <c r="G133" s="900">
        <v>5772</v>
      </c>
      <c r="H133" s="900">
        <v>5878</v>
      </c>
    </row>
    <row r="134" spans="2:8" ht="21" customHeight="1" hidden="1">
      <c r="B134" s="122" t="s">
        <v>1336</v>
      </c>
      <c r="C134" s="765"/>
      <c r="D134" s="900"/>
      <c r="E134" s="900"/>
      <c r="F134" s="900"/>
      <c r="G134" s="900"/>
      <c r="H134" s="900"/>
    </row>
    <row r="135" spans="2:8" ht="27.75" customHeight="1">
      <c r="B135" s="112" t="s">
        <v>715</v>
      </c>
      <c r="C135" s="168">
        <f aca="true" t="shared" si="7" ref="C135:H135">C142</f>
        <v>32711</v>
      </c>
      <c r="D135" s="5">
        <f t="shared" si="7"/>
        <v>50907</v>
      </c>
      <c r="E135" s="5">
        <f t="shared" si="7"/>
        <v>37702</v>
      </c>
      <c r="F135" s="5">
        <f t="shared" si="7"/>
        <v>21712</v>
      </c>
      <c r="G135" s="5">
        <f t="shared" si="7"/>
        <v>5812</v>
      </c>
      <c r="H135" s="5">
        <f t="shared" si="7"/>
        <v>5921</v>
      </c>
    </row>
    <row r="136" spans="2:8" ht="21" customHeight="1" hidden="1">
      <c r="B136" s="112" t="s">
        <v>711</v>
      </c>
      <c r="C136" s="765">
        <v>32777</v>
      </c>
      <c r="D136" s="900">
        <v>50808</v>
      </c>
      <c r="E136" s="900">
        <v>37940</v>
      </c>
      <c r="F136" s="900">
        <v>21508</v>
      </c>
      <c r="G136" s="900">
        <v>5759</v>
      </c>
      <c r="H136" s="900">
        <v>5854</v>
      </c>
    </row>
    <row r="137" spans="2:8" ht="21" customHeight="1" hidden="1">
      <c r="B137" s="122" t="s">
        <v>1333</v>
      </c>
      <c r="C137" s="765"/>
      <c r="D137" s="900"/>
      <c r="E137" s="900"/>
      <c r="F137" s="900"/>
      <c r="G137" s="900"/>
      <c r="H137" s="900"/>
    </row>
    <row r="138" spans="2:8" ht="21" customHeight="1" hidden="1">
      <c r="B138" s="112" t="s">
        <v>712</v>
      </c>
      <c r="C138" s="765">
        <v>32621</v>
      </c>
      <c r="D138" s="900">
        <v>51073</v>
      </c>
      <c r="E138" s="900">
        <v>37667</v>
      </c>
      <c r="F138" s="900">
        <v>21806</v>
      </c>
      <c r="G138" s="900">
        <v>5744</v>
      </c>
      <c r="H138" s="900">
        <v>5843</v>
      </c>
    </row>
    <row r="139" spans="2:8" ht="21" customHeight="1" hidden="1">
      <c r="B139" s="122" t="s">
        <v>1334</v>
      </c>
      <c r="C139" s="765"/>
      <c r="D139" s="900"/>
      <c r="E139" s="900"/>
      <c r="F139" s="900"/>
      <c r="G139" s="900"/>
      <c r="H139" s="900"/>
    </row>
    <row r="140" spans="2:8" ht="21" customHeight="1" hidden="1">
      <c r="B140" s="112" t="s">
        <v>713</v>
      </c>
      <c r="C140" s="765">
        <v>32755</v>
      </c>
      <c r="D140" s="900">
        <v>50920</v>
      </c>
      <c r="E140" s="900">
        <v>37640</v>
      </c>
      <c r="F140" s="900">
        <v>21765</v>
      </c>
      <c r="G140" s="900">
        <v>5779</v>
      </c>
      <c r="H140" s="900">
        <v>5849</v>
      </c>
    </row>
    <row r="141" spans="2:8" ht="21" customHeight="1" hidden="1">
      <c r="B141" s="122" t="s">
        <v>1335</v>
      </c>
      <c r="C141" s="765"/>
      <c r="D141" s="900"/>
      <c r="E141" s="900"/>
      <c r="F141" s="900"/>
      <c r="G141" s="900"/>
      <c r="H141" s="900"/>
    </row>
    <row r="142" spans="2:8" ht="21" customHeight="1" hidden="1">
      <c r="B142" s="112" t="s">
        <v>714</v>
      </c>
      <c r="C142" s="765">
        <v>32711</v>
      </c>
      <c r="D142" s="900">
        <v>50907</v>
      </c>
      <c r="E142" s="900">
        <v>37702</v>
      </c>
      <c r="F142" s="900">
        <v>21712</v>
      </c>
      <c r="G142" s="900">
        <v>5812</v>
      </c>
      <c r="H142" s="900">
        <v>5921</v>
      </c>
    </row>
    <row r="143" spans="2:8" ht="21" customHeight="1" hidden="1">
      <c r="B143" s="122" t="s">
        <v>1336</v>
      </c>
      <c r="C143" s="765"/>
      <c r="D143" s="900"/>
      <c r="E143" s="900"/>
      <c r="F143" s="900"/>
      <c r="G143" s="900"/>
      <c r="H143" s="900"/>
    </row>
    <row r="144" spans="2:8" ht="27.75" customHeight="1">
      <c r="B144" s="112" t="s">
        <v>716</v>
      </c>
      <c r="C144" s="168">
        <v>32506</v>
      </c>
      <c r="D144" s="5">
        <v>51161</v>
      </c>
      <c r="E144" s="5">
        <v>37686</v>
      </c>
      <c r="F144" s="5">
        <v>21295</v>
      </c>
      <c r="G144" s="5">
        <v>5802</v>
      </c>
      <c r="H144" s="5">
        <v>5916</v>
      </c>
    </row>
    <row r="145" spans="2:8" ht="15" customHeight="1" hidden="1">
      <c r="B145" s="112" t="s">
        <v>711</v>
      </c>
      <c r="C145" s="765">
        <v>32640</v>
      </c>
      <c r="D145" s="900">
        <v>50896</v>
      </c>
      <c r="E145" s="900">
        <v>37719</v>
      </c>
      <c r="F145" s="900">
        <v>21654</v>
      </c>
      <c r="G145" s="900">
        <v>5838</v>
      </c>
      <c r="H145" s="900">
        <v>6024</v>
      </c>
    </row>
    <row r="146" spans="2:8" ht="15" customHeight="1" hidden="1">
      <c r="B146" s="122" t="s">
        <v>874</v>
      </c>
      <c r="C146" s="765"/>
      <c r="D146" s="900"/>
      <c r="E146" s="900"/>
      <c r="F146" s="900"/>
      <c r="G146" s="900"/>
      <c r="H146" s="900"/>
    </row>
    <row r="147" spans="2:8" ht="15" customHeight="1" hidden="1">
      <c r="B147" s="112" t="s">
        <v>712</v>
      </c>
      <c r="C147" s="765">
        <v>32510</v>
      </c>
      <c r="D147" s="900">
        <v>50906</v>
      </c>
      <c r="E147" s="900">
        <v>37619</v>
      </c>
      <c r="F147" s="900">
        <v>21513</v>
      </c>
      <c r="G147" s="900">
        <v>5840</v>
      </c>
      <c r="H147" s="900">
        <v>5987</v>
      </c>
    </row>
    <row r="148" spans="2:8" ht="15" customHeight="1" hidden="1">
      <c r="B148" s="122" t="s">
        <v>875</v>
      </c>
      <c r="C148" s="765"/>
      <c r="D148" s="900"/>
      <c r="E148" s="900"/>
      <c r="F148" s="900"/>
      <c r="G148" s="900"/>
      <c r="H148" s="900"/>
    </row>
    <row r="149" spans="2:8" ht="15" customHeight="1" hidden="1">
      <c r="B149" s="112" t="s">
        <v>713</v>
      </c>
      <c r="C149" s="765">
        <v>32538</v>
      </c>
      <c r="D149" s="900">
        <v>50999</v>
      </c>
      <c r="E149" s="900">
        <v>37671</v>
      </c>
      <c r="F149" s="900">
        <v>21396</v>
      </c>
      <c r="G149" s="900">
        <v>5844</v>
      </c>
      <c r="H149" s="900">
        <v>5906</v>
      </c>
    </row>
    <row r="150" spans="2:8" ht="15" customHeight="1" hidden="1">
      <c r="B150" s="122" t="s">
        <v>876</v>
      </c>
      <c r="C150" s="765"/>
      <c r="D150" s="900"/>
      <c r="E150" s="900"/>
      <c r="F150" s="900"/>
      <c r="G150" s="900"/>
      <c r="H150" s="900"/>
    </row>
    <row r="151" spans="2:8" ht="15" customHeight="1" hidden="1">
      <c r="B151" s="112" t="s">
        <v>714</v>
      </c>
      <c r="C151" s="765">
        <v>32506</v>
      </c>
      <c r="D151" s="900">
        <v>51161</v>
      </c>
      <c r="E151" s="900">
        <v>37686</v>
      </c>
      <c r="F151" s="900">
        <v>21295</v>
      </c>
      <c r="G151" s="900">
        <v>5802</v>
      </c>
      <c r="H151" s="900">
        <v>5916</v>
      </c>
    </row>
    <row r="152" spans="2:8" ht="15" customHeight="1" hidden="1">
      <c r="B152" s="122" t="s">
        <v>877</v>
      </c>
      <c r="C152" s="765"/>
      <c r="D152" s="900"/>
      <c r="E152" s="900"/>
      <c r="F152" s="900"/>
      <c r="G152" s="900"/>
      <c r="H152" s="900"/>
    </row>
    <row r="153" spans="2:8" ht="27.75" customHeight="1">
      <c r="B153" s="112" t="s">
        <v>717</v>
      </c>
      <c r="C153" s="5">
        <v>32345</v>
      </c>
      <c r="D153" s="5">
        <v>51391</v>
      </c>
      <c r="E153" s="5">
        <v>37821</v>
      </c>
      <c r="F153" s="5">
        <v>21203</v>
      </c>
      <c r="G153" s="5">
        <v>5830</v>
      </c>
      <c r="H153" s="5">
        <v>5845</v>
      </c>
    </row>
    <row r="154" spans="2:8" ht="15" customHeight="1" hidden="1">
      <c r="B154" s="112" t="s">
        <v>711</v>
      </c>
      <c r="C154" s="765">
        <v>32444</v>
      </c>
      <c r="D154" s="900">
        <v>51174</v>
      </c>
      <c r="E154" s="900">
        <v>37600</v>
      </c>
      <c r="F154" s="900">
        <v>21237</v>
      </c>
      <c r="G154" s="900">
        <v>5801</v>
      </c>
      <c r="H154" s="900">
        <v>5888</v>
      </c>
    </row>
    <row r="155" spans="2:8" ht="15" customHeight="1" hidden="1">
      <c r="B155" s="122" t="s">
        <v>1333</v>
      </c>
      <c r="C155" s="765"/>
      <c r="D155" s="900"/>
      <c r="E155" s="900"/>
      <c r="F155" s="900"/>
      <c r="G155" s="900"/>
      <c r="H155" s="900"/>
    </row>
    <row r="156" spans="2:8" ht="15" customHeight="1" hidden="1">
      <c r="B156" s="112" t="s">
        <v>712</v>
      </c>
      <c r="C156" s="900">
        <v>32370</v>
      </c>
      <c r="D156" s="900">
        <v>51214</v>
      </c>
      <c r="E156" s="900">
        <v>37622</v>
      </c>
      <c r="F156" s="900">
        <v>21209</v>
      </c>
      <c r="G156" s="900">
        <v>5795</v>
      </c>
      <c r="H156" s="900">
        <v>5844</v>
      </c>
    </row>
    <row r="157" spans="2:8" ht="15" customHeight="1" hidden="1">
      <c r="B157" s="122" t="s">
        <v>1334</v>
      </c>
      <c r="C157" s="900"/>
      <c r="D157" s="900"/>
      <c r="E157" s="900"/>
      <c r="F157" s="900"/>
      <c r="G157" s="900"/>
      <c r="H157" s="900"/>
    </row>
    <row r="158" spans="2:8" ht="15" customHeight="1" hidden="1">
      <c r="B158" s="112" t="s">
        <v>713</v>
      </c>
      <c r="C158" s="900">
        <v>32421</v>
      </c>
      <c r="D158" s="900">
        <v>51260</v>
      </c>
      <c r="E158" s="900">
        <v>37750</v>
      </c>
      <c r="F158" s="900">
        <v>21208</v>
      </c>
      <c r="G158" s="900">
        <v>5790</v>
      </c>
      <c r="H158" s="900">
        <v>5813</v>
      </c>
    </row>
    <row r="159" spans="2:8" ht="15" customHeight="1" hidden="1">
      <c r="B159" s="122" t="s">
        <v>1335</v>
      </c>
      <c r="C159" s="900"/>
      <c r="D159" s="900"/>
      <c r="E159" s="900"/>
      <c r="F159" s="900"/>
      <c r="G159" s="900"/>
      <c r="H159" s="900"/>
    </row>
    <row r="160" spans="2:8" ht="15" customHeight="1" hidden="1">
      <c r="B160" s="112" t="s">
        <v>714</v>
      </c>
      <c r="C160" s="900">
        <v>32345</v>
      </c>
      <c r="D160" s="900">
        <v>51391</v>
      </c>
      <c r="E160" s="900">
        <v>37821</v>
      </c>
      <c r="F160" s="900">
        <v>21203</v>
      </c>
      <c r="G160" s="900">
        <v>5830</v>
      </c>
      <c r="H160" s="900">
        <v>5845</v>
      </c>
    </row>
    <row r="161" spans="2:8" ht="15" customHeight="1" hidden="1">
      <c r="B161" s="122" t="s">
        <v>1336</v>
      </c>
      <c r="C161" s="900"/>
      <c r="D161" s="900"/>
      <c r="E161" s="900"/>
      <c r="F161" s="900"/>
      <c r="G161" s="900"/>
      <c r="H161" s="900"/>
    </row>
    <row r="162" spans="2:8" ht="27.75" customHeight="1">
      <c r="B162" s="112" t="s">
        <v>718</v>
      </c>
      <c r="C162" s="5">
        <v>32213</v>
      </c>
      <c r="D162" s="5">
        <v>51722</v>
      </c>
      <c r="E162" s="5">
        <v>38469</v>
      </c>
      <c r="F162" s="5">
        <v>21268</v>
      </c>
      <c r="G162" s="5">
        <v>5815</v>
      </c>
      <c r="H162" s="5">
        <v>5842</v>
      </c>
    </row>
    <row r="163" spans="2:8" ht="15" customHeight="1" hidden="1">
      <c r="B163" s="112" t="s">
        <v>711</v>
      </c>
      <c r="C163" s="900">
        <v>32318</v>
      </c>
      <c r="D163" s="900">
        <v>51435</v>
      </c>
      <c r="E163" s="900">
        <v>38043</v>
      </c>
      <c r="F163" s="900">
        <v>21221</v>
      </c>
      <c r="G163" s="900">
        <v>5820</v>
      </c>
      <c r="H163" s="900">
        <v>5830</v>
      </c>
    </row>
    <row r="164" spans="2:8" ht="15" customHeight="1" hidden="1">
      <c r="B164" s="122" t="s">
        <v>1333</v>
      </c>
      <c r="C164" s="900"/>
      <c r="D164" s="900"/>
      <c r="E164" s="900"/>
      <c r="F164" s="900"/>
      <c r="G164" s="900"/>
      <c r="H164" s="900"/>
    </row>
    <row r="165" spans="2:8" ht="15" customHeight="1" hidden="1">
      <c r="B165" s="112" t="s">
        <v>712</v>
      </c>
      <c r="C165" s="900">
        <v>32335</v>
      </c>
      <c r="D165" s="900">
        <v>51456</v>
      </c>
      <c r="E165" s="900">
        <v>38118</v>
      </c>
      <c r="F165" s="900">
        <v>21202</v>
      </c>
      <c r="G165" s="900">
        <v>5811</v>
      </c>
      <c r="H165" s="900">
        <v>5812</v>
      </c>
    </row>
    <row r="166" spans="2:8" ht="15" customHeight="1" hidden="1">
      <c r="B166" s="122" t="s">
        <v>1334</v>
      </c>
      <c r="C166" s="900"/>
      <c r="D166" s="900"/>
      <c r="E166" s="900"/>
      <c r="F166" s="900"/>
      <c r="G166" s="900"/>
      <c r="H166" s="900"/>
    </row>
    <row r="167" spans="2:8" ht="13.5" customHeight="1" hidden="1">
      <c r="B167" s="112" t="s">
        <v>713</v>
      </c>
      <c r="C167" s="900">
        <v>32271</v>
      </c>
      <c r="D167" s="900">
        <v>51571</v>
      </c>
      <c r="E167" s="900">
        <v>38288</v>
      </c>
      <c r="F167" s="900">
        <v>21249</v>
      </c>
      <c r="G167" s="900">
        <v>5801</v>
      </c>
      <c r="H167" s="900">
        <v>5845</v>
      </c>
    </row>
    <row r="168" spans="2:8" ht="13.5" customHeight="1" hidden="1">
      <c r="B168" s="122" t="s">
        <v>1335</v>
      </c>
      <c r="C168" s="900"/>
      <c r="D168" s="900"/>
      <c r="E168" s="900"/>
      <c r="F168" s="900"/>
      <c r="G168" s="900"/>
      <c r="H168" s="900"/>
    </row>
    <row r="169" spans="2:8" ht="13.5" customHeight="1" hidden="1">
      <c r="B169" s="112" t="s">
        <v>714</v>
      </c>
      <c r="C169" s="900">
        <v>32213</v>
      </c>
      <c r="D169" s="900">
        <v>51722</v>
      </c>
      <c r="E169" s="900">
        <v>38469</v>
      </c>
      <c r="F169" s="900">
        <v>21268</v>
      </c>
      <c r="G169" s="900">
        <v>5815</v>
      </c>
      <c r="H169" s="900">
        <v>5842</v>
      </c>
    </row>
    <row r="170" spans="2:8" ht="13.5" customHeight="1" hidden="1">
      <c r="B170" s="122" t="s">
        <v>1336</v>
      </c>
      <c r="C170" s="900"/>
      <c r="D170" s="900"/>
      <c r="E170" s="900"/>
      <c r="F170" s="900"/>
      <c r="G170" s="900"/>
      <c r="H170" s="900"/>
    </row>
    <row r="171" spans="2:8" ht="27.75" customHeight="1">
      <c r="B171" s="112" t="s">
        <v>719</v>
      </c>
      <c r="C171" s="5">
        <v>32378</v>
      </c>
      <c r="D171" s="5">
        <v>52330</v>
      </c>
      <c r="E171" s="5">
        <v>38797</v>
      </c>
      <c r="F171" s="5">
        <v>21710</v>
      </c>
      <c r="G171" s="5">
        <v>6004</v>
      </c>
      <c r="H171" s="5">
        <v>6067</v>
      </c>
    </row>
    <row r="172" spans="2:8" ht="15" customHeight="1" hidden="1">
      <c r="B172" s="112" t="s">
        <v>711</v>
      </c>
      <c r="C172" s="900">
        <v>32291</v>
      </c>
      <c r="D172" s="900">
        <v>51971</v>
      </c>
      <c r="E172" s="900">
        <v>38564</v>
      </c>
      <c r="F172" s="900">
        <v>21283</v>
      </c>
      <c r="G172" s="900">
        <v>5850</v>
      </c>
      <c r="H172" s="900">
        <v>5862</v>
      </c>
    </row>
    <row r="173" spans="2:8" ht="15" customHeight="1" hidden="1">
      <c r="B173" s="122" t="s">
        <v>1333</v>
      </c>
      <c r="C173" s="900"/>
      <c r="D173" s="900"/>
      <c r="E173" s="900"/>
      <c r="F173" s="900"/>
      <c r="G173" s="900"/>
      <c r="H173" s="900"/>
    </row>
    <row r="174" spans="2:8" ht="15" customHeight="1" hidden="1">
      <c r="B174" s="112" t="s">
        <v>712</v>
      </c>
      <c r="C174" s="900">
        <v>32256</v>
      </c>
      <c r="D174" s="900">
        <v>52330</v>
      </c>
      <c r="E174" s="900">
        <v>38369</v>
      </c>
      <c r="F174" s="900">
        <v>22542</v>
      </c>
      <c r="G174" s="900">
        <v>5920</v>
      </c>
      <c r="H174" s="900">
        <v>5892</v>
      </c>
    </row>
    <row r="175" spans="2:8" ht="15" customHeight="1" hidden="1">
      <c r="B175" s="122" t="s">
        <v>1334</v>
      </c>
      <c r="C175" s="900"/>
      <c r="D175" s="900"/>
      <c r="E175" s="900"/>
      <c r="F175" s="900"/>
      <c r="G175" s="900"/>
      <c r="H175" s="900"/>
    </row>
    <row r="176" spans="2:8" ht="15" customHeight="1" hidden="1">
      <c r="B176" s="112" t="s">
        <v>713</v>
      </c>
      <c r="C176" s="900">
        <v>32324</v>
      </c>
      <c r="D176" s="900">
        <v>52167</v>
      </c>
      <c r="E176" s="900">
        <v>38620</v>
      </c>
      <c r="F176" s="900">
        <v>21797</v>
      </c>
      <c r="G176" s="900">
        <v>5967</v>
      </c>
      <c r="H176" s="900">
        <v>5920</v>
      </c>
    </row>
    <row r="177" spans="2:8" ht="15" customHeight="1" hidden="1">
      <c r="B177" s="122" t="s">
        <v>1335</v>
      </c>
      <c r="C177" s="900"/>
      <c r="D177" s="900"/>
      <c r="E177" s="900"/>
      <c r="F177" s="900"/>
      <c r="G177" s="900"/>
      <c r="H177" s="900"/>
    </row>
    <row r="178" spans="2:8" ht="15" customHeight="1">
      <c r="B178" s="112" t="s">
        <v>714</v>
      </c>
      <c r="C178" s="900">
        <v>32378</v>
      </c>
      <c r="D178" s="900">
        <v>52330</v>
      </c>
      <c r="E178" s="900">
        <v>38797</v>
      </c>
      <c r="F178" s="900">
        <v>21710</v>
      </c>
      <c r="G178" s="900">
        <v>6004</v>
      </c>
      <c r="H178" s="900">
        <v>6067</v>
      </c>
    </row>
    <row r="179" spans="2:8" ht="15" customHeight="1">
      <c r="B179" s="122" t="s">
        <v>1336</v>
      </c>
      <c r="C179" s="900"/>
      <c r="D179" s="900"/>
      <c r="E179" s="900"/>
      <c r="F179" s="900"/>
      <c r="G179" s="900"/>
      <c r="H179" s="900"/>
    </row>
    <row r="180" spans="2:8" s="582" customFormat="1" ht="21.75" customHeight="1">
      <c r="B180" s="580" t="s">
        <v>652</v>
      </c>
      <c r="C180" s="619"/>
      <c r="D180" s="619"/>
      <c r="E180" s="619"/>
      <c r="F180" s="619"/>
      <c r="G180" s="619"/>
      <c r="H180" s="619"/>
    </row>
    <row r="181" spans="2:8" s="582" customFormat="1" ht="15" customHeight="1">
      <c r="B181" s="580" t="s">
        <v>654</v>
      </c>
      <c r="C181" s="824">
        <v>32367</v>
      </c>
      <c r="D181" s="830">
        <v>52393</v>
      </c>
      <c r="E181" s="830">
        <v>38783</v>
      </c>
      <c r="F181" s="830">
        <v>21642</v>
      </c>
      <c r="G181" s="830">
        <v>6055</v>
      </c>
      <c r="H181" s="830">
        <v>6107</v>
      </c>
    </row>
    <row r="182" spans="2:8" s="582" customFormat="1" ht="15" customHeight="1">
      <c r="B182" s="583" t="s">
        <v>1333</v>
      </c>
      <c r="C182" s="824"/>
      <c r="D182" s="830"/>
      <c r="E182" s="830"/>
      <c r="F182" s="830"/>
      <c r="G182" s="830"/>
      <c r="H182" s="830"/>
    </row>
    <row r="183" spans="2:8" s="582" customFormat="1" ht="15" customHeight="1">
      <c r="B183" s="112" t="s">
        <v>712</v>
      </c>
      <c r="C183" s="803">
        <v>32328</v>
      </c>
      <c r="D183" s="894">
        <v>52309</v>
      </c>
      <c r="E183" s="894">
        <v>38712</v>
      </c>
      <c r="F183" s="894">
        <v>21521</v>
      </c>
      <c r="G183" s="894">
        <v>6026</v>
      </c>
      <c r="H183" s="894">
        <v>6078</v>
      </c>
    </row>
    <row r="184" spans="2:8" s="582" customFormat="1" ht="15" customHeight="1">
      <c r="B184" s="122" t="s">
        <v>1334</v>
      </c>
      <c r="C184" s="803"/>
      <c r="D184" s="894"/>
      <c r="E184" s="894"/>
      <c r="F184" s="894"/>
      <c r="G184" s="894"/>
      <c r="H184" s="894"/>
    </row>
    <row r="185" spans="2:8" s="582" customFormat="1" ht="15" customHeight="1">
      <c r="B185" s="112" t="s">
        <v>713</v>
      </c>
      <c r="C185" s="824">
        <v>32327</v>
      </c>
      <c r="D185" s="830">
        <v>52481</v>
      </c>
      <c r="E185" s="830">
        <v>38852</v>
      </c>
      <c r="F185" s="830">
        <v>21424</v>
      </c>
      <c r="G185" s="830">
        <v>6012</v>
      </c>
      <c r="H185" s="830">
        <v>6026</v>
      </c>
    </row>
    <row r="186" spans="2:8" s="582" customFormat="1" ht="15" customHeight="1">
      <c r="B186" s="122" t="s">
        <v>1335</v>
      </c>
      <c r="C186" s="824"/>
      <c r="D186" s="830"/>
      <c r="E186" s="830"/>
      <c r="F186" s="830"/>
      <c r="G186" s="830"/>
      <c r="H186" s="830"/>
    </row>
    <row r="187" spans="2:8" s="582" customFormat="1" ht="15" customHeight="1">
      <c r="B187" s="112" t="s">
        <v>714</v>
      </c>
      <c r="C187" s="803">
        <v>32347</v>
      </c>
      <c r="D187" s="833">
        <v>52635</v>
      </c>
      <c r="E187" s="833">
        <v>38850</v>
      </c>
      <c r="F187" s="833">
        <v>21362</v>
      </c>
      <c r="G187" s="833">
        <v>5987</v>
      </c>
      <c r="H187" s="833">
        <v>6014</v>
      </c>
    </row>
    <row r="188" spans="2:8" s="582" customFormat="1" ht="15" customHeight="1" thickBot="1">
      <c r="B188" s="122" t="s">
        <v>1336</v>
      </c>
      <c r="C188" s="805"/>
      <c r="D188" s="832"/>
      <c r="E188" s="832"/>
      <c r="F188" s="832"/>
      <c r="G188" s="832"/>
      <c r="H188" s="832"/>
    </row>
    <row r="189" spans="2:8" s="582" customFormat="1" ht="24" customHeight="1">
      <c r="B189" s="584" t="s">
        <v>656</v>
      </c>
      <c r="C189" s="844">
        <f aca="true" t="shared" si="8" ref="C189:H189">(C187-C185)/C185*100</f>
        <v>0.061867788535898784</v>
      </c>
      <c r="D189" s="844">
        <f t="shared" si="8"/>
        <v>0.2934395304967512</v>
      </c>
      <c r="E189" s="844">
        <f t="shared" si="8"/>
        <v>-0.005147740142077628</v>
      </c>
      <c r="F189" s="844">
        <f t="shared" si="8"/>
        <v>-0.289395070948469</v>
      </c>
      <c r="G189" s="844">
        <f t="shared" si="8"/>
        <v>-0.41583499667332</v>
      </c>
      <c r="H189" s="844">
        <f t="shared" si="8"/>
        <v>-0.19913707268503153</v>
      </c>
    </row>
    <row r="190" spans="2:8" s="582" customFormat="1" ht="24" customHeight="1" thickBot="1">
      <c r="B190" s="585" t="s">
        <v>864</v>
      </c>
      <c r="C190" s="839"/>
      <c r="D190" s="839"/>
      <c r="E190" s="839"/>
      <c r="F190" s="839"/>
      <c r="G190" s="839"/>
      <c r="H190" s="839"/>
    </row>
    <row r="191" spans="2:8" s="582" customFormat="1" ht="24" customHeight="1">
      <c r="B191" s="584" t="s">
        <v>865</v>
      </c>
      <c r="C191" s="844">
        <f aca="true" t="shared" si="9" ref="C191:H191">(C187-C178)/C178*100</f>
        <v>-0.09574402371980975</v>
      </c>
      <c r="D191" s="844">
        <f t="shared" si="9"/>
        <v>0.5828396713166444</v>
      </c>
      <c r="E191" s="844">
        <f t="shared" si="9"/>
        <v>0.13660850065726732</v>
      </c>
      <c r="F191" s="844">
        <f t="shared" si="9"/>
        <v>-1.6029479502533397</v>
      </c>
      <c r="G191" s="844">
        <f t="shared" si="9"/>
        <v>-0.2831445702864757</v>
      </c>
      <c r="H191" s="844">
        <f t="shared" si="9"/>
        <v>-0.8735783748145706</v>
      </c>
    </row>
    <row r="192" spans="2:8" s="582" customFormat="1" ht="24" customHeight="1" thickBot="1">
      <c r="B192" s="585" t="s">
        <v>878</v>
      </c>
      <c r="C192" s="839"/>
      <c r="D192" s="839"/>
      <c r="E192" s="839"/>
      <c r="F192" s="839"/>
      <c r="G192" s="839"/>
      <c r="H192" s="839"/>
    </row>
    <row r="193" ht="21.75" customHeight="1">
      <c r="B193" s="113" t="s">
        <v>721</v>
      </c>
    </row>
    <row r="194" spans="2:3" ht="14.25" customHeight="1">
      <c r="B194" s="120"/>
      <c r="C194" s="99"/>
    </row>
    <row r="195" spans="1:9" ht="117" customHeight="1">
      <c r="A195" s="899" t="s">
        <v>881</v>
      </c>
      <c r="B195" s="899"/>
      <c r="C195" s="899"/>
      <c r="D195" s="899"/>
      <c r="E195" s="899"/>
      <c r="F195" s="899"/>
      <c r="G195" s="899"/>
      <c r="H195" s="899"/>
      <c r="I195" s="899"/>
    </row>
  </sheetData>
  <mergeCells count="416">
    <mergeCell ref="G187:G188"/>
    <mergeCell ref="H187:H188"/>
    <mergeCell ref="C187:C188"/>
    <mergeCell ref="D187:D188"/>
    <mergeCell ref="E187:E188"/>
    <mergeCell ref="F187:F188"/>
    <mergeCell ref="D91:D92"/>
    <mergeCell ref="E91:E92"/>
    <mergeCell ref="F91:F92"/>
    <mergeCell ref="G91:G92"/>
    <mergeCell ref="H183:H184"/>
    <mergeCell ref="C183:C184"/>
    <mergeCell ref="D183:D184"/>
    <mergeCell ref="E183:E184"/>
    <mergeCell ref="F183:F184"/>
    <mergeCell ref="G183:G184"/>
    <mergeCell ref="G181:G182"/>
    <mergeCell ref="F181:F182"/>
    <mergeCell ref="F127:F128"/>
    <mergeCell ref="G131:G132"/>
    <mergeCell ref="F151:F152"/>
    <mergeCell ref="F129:F130"/>
    <mergeCell ref="G129:G130"/>
    <mergeCell ref="G147:G148"/>
    <mergeCell ref="G133:G134"/>
    <mergeCell ref="G178:G179"/>
    <mergeCell ref="C181:C182"/>
    <mergeCell ref="D181:D182"/>
    <mergeCell ref="E181:E182"/>
    <mergeCell ref="C140:C141"/>
    <mergeCell ref="D140:D141"/>
    <mergeCell ref="C165:C166"/>
    <mergeCell ref="D165:D166"/>
    <mergeCell ref="C163:C164"/>
    <mergeCell ref="D163:D164"/>
    <mergeCell ref="D158:D159"/>
    <mergeCell ref="C160:C161"/>
    <mergeCell ref="D160:D161"/>
    <mergeCell ref="C158:C159"/>
    <mergeCell ref="C95:C96"/>
    <mergeCell ref="D118:D119"/>
    <mergeCell ref="D133:D134"/>
    <mergeCell ref="D131:D132"/>
    <mergeCell ref="C129:C130"/>
    <mergeCell ref="D120:D121"/>
    <mergeCell ref="D147:D148"/>
    <mergeCell ref="C156:C157"/>
    <mergeCell ref="C85:C86"/>
    <mergeCell ref="C147:C148"/>
    <mergeCell ref="C142:C143"/>
    <mergeCell ref="C118:C119"/>
    <mergeCell ref="C145:C146"/>
    <mergeCell ref="C133:C134"/>
    <mergeCell ref="C131:C132"/>
    <mergeCell ref="C149:C150"/>
    <mergeCell ref="C151:C152"/>
    <mergeCell ref="H129:H130"/>
    <mergeCell ref="D71:D72"/>
    <mergeCell ref="D127:D128"/>
    <mergeCell ref="D95:D96"/>
    <mergeCell ref="D124:D125"/>
    <mergeCell ref="D85:D86"/>
    <mergeCell ref="E85:E86"/>
    <mergeCell ref="D87:D88"/>
    <mergeCell ref="H124:H125"/>
    <mergeCell ref="G71:G72"/>
    <mergeCell ref="H142:H143"/>
    <mergeCell ref="F140:F141"/>
    <mergeCell ref="G136:G137"/>
    <mergeCell ref="H136:H137"/>
    <mergeCell ref="F136:F137"/>
    <mergeCell ref="H140:H141"/>
    <mergeCell ref="G138:G139"/>
    <mergeCell ref="H138:H139"/>
    <mergeCell ref="G142:G143"/>
    <mergeCell ref="G140:G141"/>
    <mergeCell ref="H131:H132"/>
    <mergeCell ref="H145:H146"/>
    <mergeCell ref="F156:F157"/>
    <mergeCell ref="H151:H152"/>
    <mergeCell ref="F145:F146"/>
    <mergeCell ref="H149:H150"/>
    <mergeCell ref="F149:F150"/>
    <mergeCell ref="G154:G155"/>
    <mergeCell ref="G145:G146"/>
    <mergeCell ref="H147:H148"/>
    <mergeCell ref="F64:F65"/>
    <mergeCell ref="E55:E56"/>
    <mergeCell ref="F69:F70"/>
    <mergeCell ref="F62:F63"/>
    <mergeCell ref="H51:H52"/>
    <mergeCell ref="G51:G52"/>
    <mergeCell ref="F44:F45"/>
    <mergeCell ref="G49:G50"/>
    <mergeCell ref="H49:H50"/>
    <mergeCell ref="G44:G45"/>
    <mergeCell ref="H44:H45"/>
    <mergeCell ref="F46:F47"/>
    <mergeCell ref="G46:G47"/>
    <mergeCell ref="H46:H47"/>
    <mergeCell ref="C53:C54"/>
    <mergeCell ref="D53:D54"/>
    <mergeCell ref="C55:C56"/>
    <mergeCell ref="D55:D56"/>
    <mergeCell ref="C49:C50"/>
    <mergeCell ref="D49:D50"/>
    <mergeCell ref="C51:C52"/>
    <mergeCell ref="D51:D52"/>
    <mergeCell ref="C46:C47"/>
    <mergeCell ref="D46:D47"/>
    <mergeCell ref="C42:C43"/>
    <mergeCell ref="D42:D43"/>
    <mergeCell ref="C44:C45"/>
    <mergeCell ref="D44:D45"/>
    <mergeCell ref="A1:I1"/>
    <mergeCell ref="B2:H2"/>
    <mergeCell ref="C93:C94"/>
    <mergeCell ref="D93:D94"/>
    <mergeCell ref="E93:E94"/>
    <mergeCell ref="F93:F94"/>
    <mergeCell ref="G93:G94"/>
    <mergeCell ref="H93:H94"/>
    <mergeCell ref="E22:E23"/>
    <mergeCell ref="F22:F23"/>
    <mergeCell ref="C189:C190"/>
    <mergeCell ref="D189:D190"/>
    <mergeCell ref="E189:E190"/>
    <mergeCell ref="F189:F190"/>
    <mergeCell ref="C191:C192"/>
    <mergeCell ref="D191:D192"/>
    <mergeCell ref="E191:E192"/>
    <mergeCell ref="F191:F192"/>
    <mergeCell ref="G191:G192"/>
    <mergeCell ref="H191:H192"/>
    <mergeCell ref="G95:G96"/>
    <mergeCell ref="H95:H96"/>
    <mergeCell ref="G189:G190"/>
    <mergeCell ref="H189:H190"/>
    <mergeCell ref="G118:G119"/>
    <mergeCell ref="H118:H119"/>
    <mergeCell ref="G127:G128"/>
    <mergeCell ref="H127:H128"/>
    <mergeCell ref="G22:G23"/>
    <mergeCell ref="H22:H23"/>
    <mergeCell ref="C24:C25"/>
    <mergeCell ref="D24:D25"/>
    <mergeCell ref="E24:E25"/>
    <mergeCell ref="F24:F25"/>
    <mergeCell ref="G24:G25"/>
    <mergeCell ref="H24:H25"/>
    <mergeCell ref="C22:C23"/>
    <mergeCell ref="D22:D23"/>
    <mergeCell ref="C26:C27"/>
    <mergeCell ref="D26:D27"/>
    <mergeCell ref="E26:E27"/>
    <mergeCell ref="F26:F27"/>
    <mergeCell ref="C31:C32"/>
    <mergeCell ref="D31:D32"/>
    <mergeCell ref="E31:E32"/>
    <mergeCell ref="F31:F32"/>
    <mergeCell ref="C28:C29"/>
    <mergeCell ref="D28:D29"/>
    <mergeCell ref="E28:E29"/>
    <mergeCell ref="F28:F29"/>
    <mergeCell ref="H26:H27"/>
    <mergeCell ref="G28:G29"/>
    <mergeCell ref="H28:H29"/>
    <mergeCell ref="G31:G32"/>
    <mergeCell ref="H31:H32"/>
    <mergeCell ref="G26:G27"/>
    <mergeCell ref="C40:C41"/>
    <mergeCell ref="D40:D41"/>
    <mergeCell ref="E40:E41"/>
    <mergeCell ref="F37:F38"/>
    <mergeCell ref="D37:D38"/>
    <mergeCell ref="E37:E38"/>
    <mergeCell ref="C37:C38"/>
    <mergeCell ref="F40:F41"/>
    <mergeCell ref="C35:C36"/>
    <mergeCell ref="D35:D36"/>
    <mergeCell ref="F33:F34"/>
    <mergeCell ref="E35:E36"/>
    <mergeCell ref="F35:F36"/>
    <mergeCell ref="C33:C34"/>
    <mergeCell ref="D33:D34"/>
    <mergeCell ref="E33:E34"/>
    <mergeCell ref="H33:H34"/>
    <mergeCell ref="G35:G36"/>
    <mergeCell ref="H35:H36"/>
    <mergeCell ref="G33:G34"/>
    <mergeCell ref="G40:G41"/>
    <mergeCell ref="H40:H41"/>
    <mergeCell ref="G42:G43"/>
    <mergeCell ref="H37:H38"/>
    <mergeCell ref="G37:G38"/>
    <mergeCell ref="H42:H43"/>
    <mergeCell ref="H71:H72"/>
    <mergeCell ref="H73:H74"/>
    <mergeCell ref="H62:H63"/>
    <mergeCell ref="G64:G65"/>
    <mergeCell ref="H64:H65"/>
    <mergeCell ref="E49:E50"/>
    <mergeCell ref="F42:F43"/>
    <mergeCell ref="E53:E54"/>
    <mergeCell ref="E42:E43"/>
    <mergeCell ref="E44:E45"/>
    <mergeCell ref="E46:E47"/>
    <mergeCell ref="F49:F50"/>
    <mergeCell ref="F53:F54"/>
    <mergeCell ref="F51:F52"/>
    <mergeCell ref="F131:F132"/>
    <mergeCell ref="F85:F86"/>
    <mergeCell ref="F124:F125"/>
    <mergeCell ref="E51:E52"/>
    <mergeCell ref="E60:E61"/>
    <mergeCell ref="F71:F72"/>
    <mergeCell ref="F55:F56"/>
    <mergeCell ref="F60:F61"/>
    <mergeCell ref="E58:E59"/>
    <mergeCell ref="F58:F59"/>
    <mergeCell ref="G53:G54"/>
    <mergeCell ref="G122:G123"/>
    <mergeCell ref="G73:G74"/>
    <mergeCell ref="F120:F121"/>
    <mergeCell ref="F87:F88"/>
    <mergeCell ref="F73:F74"/>
    <mergeCell ref="F89:F90"/>
    <mergeCell ref="F78:F79"/>
    <mergeCell ref="F122:F123"/>
    <mergeCell ref="F67:F68"/>
    <mergeCell ref="H120:H121"/>
    <mergeCell ref="G80:G81"/>
    <mergeCell ref="H80:H81"/>
    <mergeCell ref="G120:G121"/>
    <mergeCell ref="G87:G88"/>
    <mergeCell ref="H87:H88"/>
    <mergeCell ref="G89:G90"/>
    <mergeCell ref="H89:H90"/>
    <mergeCell ref="G85:G86"/>
    <mergeCell ref="H91:H92"/>
    <mergeCell ref="H122:H123"/>
    <mergeCell ref="G124:G125"/>
    <mergeCell ref="A100:I100"/>
    <mergeCell ref="H60:H61"/>
    <mergeCell ref="G60:G61"/>
    <mergeCell ref="G67:G68"/>
    <mergeCell ref="H69:H70"/>
    <mergeCell ref="G62:G63"/>
    <mergeCell ref="F118:F119"/>
    <mergeCell ref="F95:F96"/>
    <mergeCell ref="H133:H134"/>
    <mergeCell ref="H53:H54"/>
    <mergeCell ref="G55:G56"/>
    <mergeCell ref="G58:G59"/>
    <mergeCell ref="H58:H59"/>
    <mergeCell ref="H55:H56"/>
    <mergeCell ref="H67:H68"/>
    <mergeCell ref="G69:G70"/>
    <mergeCell ref="G76:G77"/>
    <mergeCell ref="H78:H79"/>
    <mergeCell ref="H76:H77"/>
    <mergeCell ref="H85:H86"/>
    <mergeCell ref="F80:F81"/>
    <mergeCell ref="G78:G79"/>
    <mergeCell ref="H82:H83"/>
    <mergeCell ref="E142:E143"/>
    <mergeCell ref="F142:F143"/>
    <mergeCell ref="F138:F139"/>
    <mergeCell ref="E140:E141"/>
    <mergeCell ref="E138:E139"/>
    <mergeCell ref="D156:D157"/>
    <mergeCell ref="D151:D152"/>
    <mergeCell ref="E64:E65"/>
    <mergeCell ref="E67:E68"/>
    <mergeCell ref="E78:E79"/>
    <mergeCell ref="E82:E83"/>
    <mergeCell ref="E69:E70"/>
    <mergeCell ref="E87:E88"/>
    <mergeCell ref="E129:E130"/>
    <mergeCell ref="D149:D150"/>
    <mergeCell ref="C154:C155"/>
    <mergeCell ref="D154:D155"/>
    <mergeCell ref="G149:G150"/>
    <mergeCell ref="G151:G152"/>
    <mergeCell ref="E156:E157"/>
    <mergeCell ref="E151:E152"/>
    <mergeCell ref="F160:F161"/>
    <mergeCell ref="F147:F148"/>
    <mergeCell ref="E149:E150"/>
    <mergeCell ref="F154:F155"/>
    <mergeCell ref="E160:E161"/>
    <mergeCell ref="E158:E159"/>
    <mergeCell ref="C76:C77"/>
    <mergeCell ref="C120:C121"/>
    <mergeCell ref="C60:C61"/>
    <mergeCell ref="C64:C65"/>
    <mergeCell ref="C62:C63"/>
    <mergeCell ref="C71:C72"/>
    <mergeCell ref="C80:C81"/>
    <mergeCell ref="C78:C79"/>
    <mergeCell ref="C87:C88"/>
    <mergeCell ref="C91:C92"/>
    <mergeCell ref="C58:C59"/>
    <mergeCell ref="D58:D59"/>
    <mergeCell ref="C69:C70"/>
    <mergeCell ref="C67:C68"/>
    <mergeCell ref="D69:D70"/>
    <mergeCell ref="E145:E146"/>
    <mergeCell ref="E127:E128"/>
    <mergeCell ref="D142:D143"/>
    <mergeCell ref="C73:C74"/>
    <mergeCell ref="D73:D74"/>
    <mergeCell ref="D136:D137"/>
    <mergeCell ref="D129:D130"/>
    <mergeCell ref="C124:C125"/>
    <mergeCell ref="D145:D146"/>
    <mergeCell ref="E73:E74"/>
    <mergeCell ref="E124:E125"/>
    <mergeCell ref="D76:D77"/>
    <mergeCell ref="D60:D61"/>
    <mergeCell ref="D64:D65"/>
    <mergeCell ref="E122:E123"/>
    <mergeCell ref="E120:E121"/>
    <mergeCell ref="E95:E96"/>
    <mergeCell ref="E62:E63"/>
    <mergeCell ref="D62:D63"/>
    <mergeCell ref="D80:D81"/>
    <mergeCell ref="A195:I195"/>
    <mergeCell ref="E154:E155"/>
    <mergeCell ref="C122:C123"/>
    <mergeCell ref="D122:D123"/>
    <mergeCell ref="C138:C139"/>
    <mergeCell ref="D138:D139"/>
    <mergeCell ref="C127:C128"/>
    <mergeCell ref="C136:C137"/>
    <mergeCell ref="E147:E148"/>
    <mergeCell ref="F158:F159"/>
    <mergeCell ref="G163:G164"/>
    <mergeCell ref="G174:G175"/>
    <mergeCell ref="E165:E166"/>
    <mergeCell ref="F165:F166"/>
    <mergeCell ref="G172:G173"/>
    <mergeCell ref="F174:F175"/>
    <mergeCell ref="F167:F168"/>
    <mergeCell ref="E167:E168"/>
    <mergeCell ref="H178:H179"/>
    <mergeCell ref="C82:C83"/>
    <mergeCell ref="D82:D83"/>
    <mergeCell ref="F82:F83"/>
    <mergeCell ref="C178:C179"/>
    <mergeCell ref="D178:D179"/>
    <mergeCell ref="E178:E179"/>
    <mergeCell ref="F178:F179"/>
    <mergeCell ref="H154:H155"/>
    <mergeCell ref="G169:G170"/>
    <mergeCell ref="H172:H173"/>
    <mergeCell ref="G167:G168"/>
    <mergeCell ref="H165:H166"/>
    <mergeCell ref="G156:G157"/>
    <mergeCell ref="H167:H168"/>
    <mergeCell ref="H160:H161"/>
    <mergeCell ref="G160:G161"/>
    <mergeCell ref="H158:H159"/>
    <mergeCell ref="G165:G166"/>
    <mergeCell ref="G158:G159"/>
    <mergeCell ref="C172:C173"/>
    <mergeCell ref="D172:D173"/>
    <mergeCell ref="E172:E173"/>
    <mergeCell ref="C167:C168"/>
    <mergeCell ref="D167:D168"/>
    <mergeCell ref="C169:C170"/>
    <mergeCell ref="D169:D170"/>
    <mergeCell ref="A3:I3"/>
    <mergeCell ref="A4:I4"/>
    <mergeCell ref="A98:I98"/>
    <mergeCell ref="A99:I99"/>
    <mergeCell ref="E76:E77"/>
    <mergeCell ref="F76:F77"/>
    <mergeCell ref="G82:G83"/>
    <mergeCell ref="D78:D79"/>
    <mergeCell ref="D67:D68"/>
    <mergeCell ref="E71:E72"/>
    <mergeCell ref="H181:H182"/>
    <mergeCell ref="G176:G177"/>
    <mergeCell ref="H176:H177"/>
    <mergeCell ref="E136:E137"/>
    <mergeCell ref="F172:F173"/>
    <mergeCell ref="H169:H170"/>
    <mergeCell ref="H163:H164"/>
    <mergeCell ref="H174:H175"/>
    <mergeCell ref="F169:F170"/>
    <mergeCell ref="H156:H157"/>
    <mergeCell ref="C176:C177"/>
    <mergeCell ref="D176:D177"/>
    <mergeCell ref="C174:C175"/>
    <mergeCell ref="D174:D175"/>
    <mergeCell ref="F176:F177"/>
    <mergeCell ref="E80:E81"/>
    <mergeCell ref="F133:F134"/>
    <mergeCell ref="E133:E134"/>
    <mergeCell ref="E118:E119"/>
    <mergeCell ref="E131:E132"/>
    <mergeCell ref="E174:E175"/>
    <mergeCell ref="E169:E170"/>
    <mergeCell ref="E163:E164"/>
    <mergeCell ref="F163:F164"/>
    <mergeCell ref="G185:G186"/>
    <mergeCell ref="H185:H186"/>
    <mergeCell ref="C89:C90"/>
    <mergeCell ref="D89:D90"/>
    <mergeCell ref="E89:E90"/>
    <mergeCell ref="C185:C186"/>
    <mergeCell ref="D185:D186"/>
    <mergeCell ref="E185:E186"/>
    <mergeCell ref="F185:F186"/>
    <mergeCell ref="E176:E177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rowBreaks count="1" manualBreakCount="1">
    <brk id="9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97"/>
  <sheetViews>
    <sheetView showGridLines="0" zoomScaleSheetLayoutView="100" workbookViewId="0" topLeftCell="A1">
      <selection activeCell="O96" sqref="O96"/>
    </sheetView>
  </sheetViews>
  <sheetFormatPr defaultColWidth="9.00390625" defaultRowHeight="16.5"/>
  <cols>
    <col min="1" max="1" width="2.625" style="3" customWidth="1"/>
    <col min="2" max="9" width="10.75390625" style="3" customWidth="1"/>
    <col min="10" max="11" width="2.625" style="3" customWidth="1"/>
    <col min="12" max="18" width="12.125" style="3" customWidth="1"/>
    <col min="19" max="19" width="2.625" style="3" customWidth="1"/>
    <col min="20" max="16384" width="9.00390625" style="3" customWidth="1"/>
  </cols>
  <sheetData>
    <row r="1" spans="1:10" ht="49.5" customHeight="1">
      <c r="A1" s="869" t="s">
        <v>545</v>
      </c>
      <c r="B1" s="820"/>
      <c r="C1" s="820"/>
      <c r="D1" s="820"/>
      <c r="E1" s="820"/>
      <c r="F1" s="820"/>
      <c r="G1" s="820"/>
      <c r="H1" s="820"/>
      <c r="I1" s="820"/>
      <c r="J1" s="820"/>
    </row>
    <row r="2" spans="2:10" ht="81.75" customHeight="1">
      <c r="B2" s="907" t="s">
        <v>882</v>
      </c>
      <c r="C2" s="908"/>
      <c r="D2" s="908"/>
      <c r="E2" s="908"/>
      <c r="F2" s="908"/>
      <c r="G2" s="908"/>
      <c r="H2" s="908"/>
      <c r="I2" s="908"/>
      <c r="J2" s="208"/>
    </row>
    <row r="10" ht="16.5" thickBot="1"/>
    <row r="11" spans="14:15" ht="16.5">
      <c r="N11" s="588" t="s">
        <v>883</v>
      </c>
      <c r="O11" s="687" t="s">
        <v>963</v>
      </c>
    </row>
    <row r="12" spans="13:16" ht="16.5">
      <c r="M12" s="36"/>
      <c r="N12" s="688" t="s">
        <v>964</v>
      </c>
      <c r="O12" s="689">
        <v>56.9</v>
      </c>
      <c r="P12" s="663"/>
    </row>
    <row r="13" spans="13:15" ht="16.5">
      <c r="M13" s="36"/>
      <c r="N13" s="688" t="s">
        <v>965</v>
      </c>
      <c r="O13" s="689">
        <v>56.1</v>
      </c>
    </row>
    <row r="14" spans="13:15" ht="16.5">
      <c r="M14" s="36"/>
      <c r="N14" s="688" t="s">
        <v>966</v>
      </c>
      <c r="O14" s="689">
        <v>57.1</v>
      </c>
    </row>
    <row r="15" spans="13:15" ht="16.5">
      <c r="M15" s="36"/>
      <c r="N15" s="688" t="s">
        <v>967</v>
      </c>
      <c r="O15" s="689">
        <v>57.1</v>
      </c>
    </row>
    <row r="16" spans="13:15" ht="17.25" thickBot="1">
      <c r="M16" s="36"/>
      <c r="N16" s="690" t="s">
        <v>884</v>
      </c>
      <c r="O16" s="725">
        <v>58.6</v>
      </c>
    </row>
    <row r="17" spans="14:15" ht="15.75">
      <c r="N17" s="612"/>
      <c r="O17" s="612"/>
    </row>
    <row r="25" ht="16.5" thickBot="1"/>
    <row r="26" spans="14:15" ht="16.5">
      <c r="N26" s="588" t="s">
        <v>883</v>
      </c>
      <c r="O26" s="691" t="s">
        <v>551</v>
      </c>
    </row>
    <row r="27" spans="13:15" ht="16.5">
      <c r="M27" s="36"/>
      <c r="N27" s="688" t="s">
        <v>964</v>
      </c>
      <c r="O27" s="689">
        <v>4.5</v>
      </c>
    </row>
    <row r="28" spans="13:15" ht="16.5">
      <c r="M28" s="36"/>
      <c r="N28" s="688" t="s">
        <v>965</v>
      </c>
      <c r="O28" s="689">
        <v>5.5</v>
      </c>
    </row>
    <row r="29" spans="13:15" ht="16.5">
      <c r="M29" s="36"/>
      <c r="N29" s="688" t="s">
        <v>966</v>
      </c>
      <c r="O29" s="689">
        <v>5.9</v>
      </c>
    </row>
    <row r="30" spans="13:15" ht="16.5">
      <c r="M30" s="36"/>
      <c r="N30" s="688" t="s">
        <v>967</v>
      </c>
      <c r="O30" s="689">
        <v>5.4</v>
      </c>
    </row>
    <row r="31" spans="13:15" ht="17.25" thickBot="1">
      <c r="M31" s="36"/>
      <c r="N31" s="690" t="s">
        <v>884</v>
      </c>
      <c r="O31" s="725">
        <v>4.8</v>
      </c>
    </row>
    <row r="32" ht="15.75">
      <c r="N32" s="612"/>
    </row>
    <row r="34" ht="9.75" customHeight="1"/>
    <row r="35" ht="9.75" customHeight="1"/>
    <row r="36" ht="9.75" customHeight="1"/>
    <row r="37" ht="9.75" customHeight="1"/>
    <row r="46" ht="15.75" customHeight="1"/>
    <row r="47" spans="1:10" ht="15" customHeight="1">
      <c r="A47" s="899" t="s">
        <v>546</v>
      </c>
      <c r="B47" s="899"/>
      <c r="C47" s="899"/>
      <c r="D47" s="899"/>
      <c r="E47" s="899"/>
      <c r="F47" s="899"/>
      <c r="G47" s="899"/>
      <c r="H47" s="899"/>
      <c r="I47" s="899"/>
      <c r="J47" s="899"/>
    </row>
    <row r="48" spans="1:10" ht="22.5" customHeight="1">
      <c r="A48" s="897" t="s">
        <v>885</v>
      </c>
      <c r="B48" s="897"/>
      <c r="C48" s="897"/>
      <c r="D48" s="897"/>
      <c r="E48" s="897"/>
      <c r="F48" s="897"/>
      <c r="G48" s="897"/>
      <c r="H48" s="897"/>
      <c r="I48" s="897"/>
      <c r="J48" s="897"/>
    </row>
    <row r="49" spans="2:9" ht="21" customHeight="1" thickBot="1">
      <c r="B49" s="145" t="s">
        <v>547</v>
      </c>
      <c r="C49" s="144"/>
      <c r="D49" s="144"/>
      <c r="E49" s="144"/>
      <c r="F49" s="144"/>
      <c r="G49" s="144"/>
      <c r="H49" s="144"/>
      <c r="I49" s="144"/>
    </row>
    <row r="50" spans="2:9" ht="19.5" customHeight="1">
      <c r="B50" s="860" t="s">
        <v>526</v>
      </c>
      <c r="C50" s="149" t="s">
        <v>548</v>
      </c>
      <c r="D50" s="909" t="s">
        <v>886</v>
      </c>
      <c r="E50" s="857"/>
      <c r="F50" s="858"/>
      <c r="G50" s="199" t="s">
        <v>549</v>
      </c>
      <c r="H50" s="138" t="s">
        <v>550</v>
      </c>
      <c r="I50" s="136" t="s">
        <v>551</v>
      </c>
    </row>
    <row r="51" spans="2:8" ht="19.5" customHeight="1">
      <c r="B51" s="861"/>
      <c r="C51" s="107" t="s">
        <v>552</v>
      </c>
      <c r="D51" s="906"/>
      <c r="E51" s="910"/>
      <c r="F51" s="911"/>
      <c r="G51" s="108" t="s">
        <v>553</v>
      </c>
      <c r="H51" s="108" t="s">
        <v>968</v>
      </c>
    </row>
    <row r="52" spans="2:9" ht="19.5" customHeight="1">
      <c r="B52" s="861"/>
      <c r="C52" s="209" t="s">
        <v>887</v>
      </c>
      <c r="D52" s="913" t="s">
        <v>554</v>
      </c>
      <c r="E52" s="914"/>
      <c r="F52" s="915"/>
      <c r="G52" s="182" t="s">
        <v>555</v>
      </c>
      <c r="H52" s="676" t="s">
        <v>556</v>
      </c>
      <c r="I52" s="692" t="s">
        <v>557</v>
      </c>
    </row>
    <row r="53" spans="2:9" ht="12.75" customHeight="1">
      <c r="B53" s="861"/>
      <c r="C53" s="693" t="s">
        <v>558</v>
      </c>
      <c r="D53" s="916"/>
      <c r="E53" s="917"/>
      <c r="F53" s="918"/>
      <c r="G53" s="182" t="s">
        <v>887</v>
      </c>
      <c r="H53" s="182" t="s">
        <v>559</v>
      </c>
      <c r="I53" s="195" t="s">
        <v>559</v>
      </c>
    </row>
    <row r="54" spans="2:9" ht="19.5" customHeight="1">
      <c r="B54" s="874" t="s">
        <v>888</v>
      </c>
      <c r="C54" s="862" t="s">
        <v>560</v>
      </c>
      <c r="D54" s="110" t="s">
        <v>537</v>
      </c>
      <c r="E54" s="110" t="s">
        <v>561</v>
      </c>
      <c r="F54" s="694" t="s">
        <v>562</v>
      </c>
      <c r="G54" s="865" t="s">
        <v>563</v>
      </c>
      <c r="H54" s="865" t="s">
        <v>969</v>
      </c>
      <c r="I54" s="846" t="s">
        <v>970</v>
      </c>
    </row>
    <row r="55" spans="2:9" ht="19.5" customHeight="1">
      <c r="B55" s="874"/>
      <c r="C55" s="862"/>
      <c r="D55" s="693" t="s">
        <v>564</v>
      </c>
      <c r="E55" s="693" t="s">
        <v>565</v>
      </c>
      <c r="F55" s="695" t="s">
        <v>566</v>
      </c>
      <c r="G55" s="865"/>
      <c r="H55" s="865"/>
      <c r="I55" s="846"/>
    </row>
    <row r="56" spans="2:9" ht="16.5" customHeight="1" thickBot="1">
      <c r="B56" s="875"/>
      <c r="C56" s="912"/>
      <c r="D56" s="151" t="s">
        <v>1332</v>
      </c>
      <c r="E56" s="151" t="s">
        <v>971</v>
      </c>
      <c r="F56" s="151" t="s">
        <v>972</v>
      </c>
      <c r="G56" s="855"/>
      <c r="H56" s="855"/>
      <c r="I56" s="847"/>
    </row>
    <row r="57" spans="2:9" ht="27.75" customHeight="1" hidden="1">
      <c r="B57" s="115" t="s">
        <v>532</v>
      </c>
      <c r="C57" s="154">
        <v>344</v>
      </c>
      <c r="D57" s="154">
        <v>203</v>
      </c>
      <c r="E57" s="154">
        <v>200</v>
      </c>
      <c r="F57" s="154">
        <v>3</v>
      </c>
      <c r="G57" s="154">
        <v>140</v>
      </c>
      <c r="H57" s="141">
        <v>59.12</v>
      </c>
      <c r="I57" s="183">
        <v>1.53</v>
      </c>
    </row>
    <row r="58" spans="2:9" ht="27" customHeight="1" hidden="1">
      <c r="B58" s="112" t="s">
        <v>700</v>
      </c>
      <c r="C58" s="154">
        <v>346</v>
      </c>
      <c r="D58" s="154">
        <v>202</v>
      </c>
      <c r="E58" s="154">
        <v>198</v>
      </c>
      <c r="F58" s="154">
        <v>4</v>
      </c>
      <c r="G58" s="154">
        <v>144</v>
      </c>
      <c r="H58" s="141">
        <v>58.26</v>
      </c>
      <c r="I58" s="183">
        <v>1.89</v>
      </c>
    </row>
    <row r="59" spans="2:9" ht="34.5" customHeight="1" hidden="1">
      <c r="B59" s="112" t="s">
        <v>702</v>
      </c>
      <c r="C59" s="154">
        <v>348</v>
      </c>
      <c r="D59" s="154">
        <v>207</v>
      </c>
      <c r="E59" s="154">
        <v>201</v>
      </c>
      <c r="F59" s="154">
        <v>7</v>
      </c>
      <c r="G59" s="154">
        <v>141</v>
      </c>
      <c r="H59" s="141">
        <v>59.57</v>
      </c>
      <c r="I59" s="183">
        <v>3.25</v>
      </c>
    </row>
    <row r="60" spans="2:9" ht="9.75" customHeight="1" hidden="1">
      <c r="B60" s="122"/>
      <c r="C60" s="152"/>
      <c r="D60" s="154"/>
      <c r="E60" s="154"/>
      <c r="F60" s="154"/>
      <c r="G60" s="154"/>
      <c r="H60" s="141"/>
      <c r="I60" s="183"/>
    </row>
    <row r="61" spans="2:9" ht="34.5" customHeight="1" hidden="1">
      <c r="B61" s="112" t="s">
        <v>703</v>
      </c>
      <c r="C61" s="5">
        <f aca="true" t="shared" si="0" ref="C61:H61">SUM(C62:C69)</f>
        <v>2870</v>
      </c>
      <c r="D61" s="5">
        <f t="shared" si="0"/>
        <v>1631</v>
      </c>
      <c r="E61" s="5">
        <f t="shared" si="0"/>
        <v>1555</v>
      </c>
      <c r="F61" s="5">
        <f t="shared" si="0"/>
        <v>75</v>
      </c>
      <c r="G61" s="5">
        <f t="shared" si="0"/>
        <v>1241</v>
      </c>
      <c r="H61" s="5">
        <f t="shared" si="0"/>
        <v>454.60999999999996</v>
      </c>
      <c r="I61" s="183">
        <v>3.28</v>
      </c>
    </row>
    <row r="62" spans="2:9" ht="34.5" customHeight="1" hidden="1">
      <c r="B62" s="112" t="s">
        <v>704</v>
      </c>
      <c r="C62" s="5">
        <v>352</v>
      </c>
      <c r="D62" s="154">
        <v>205</v>
      </c>
      <c r="E62" s="154">
        <v>198</v>
      </c>
      <c r="F62" s="154">
        <v>7</v>
      </c>
      <c r="G62" s="154">
        <v>147</v>
      </c>
      <c r="H62" s="141">
        <v>58.19</v>
      </c>
      <c r="I62" s="183">
        <v>3.44</v>
      </c>
    </row>
    <row r="63" spans="2:9" ht="39.75" customHeight="1" hidden="1">
      <c r="B63" s="112" t="s">
        <v>705</v>
      </c>
      <c r="C63" s="5">
        <v>352</v>
      </c>
      <c r="D63" s="154">
        <v>203</v>
      </c>
      <c r="E63" s="154">
        <v>196</v>
      </c>
      <c r="F63" s="154">
        <v>7</v>
      </c>
      <c r="G63" s="154">
        <v>149</v>
      </c>
      <c r="H63" s="141">
        <v>57.79</v>
      </c>
      <c r="I63" s="183">
        <v>3.45</v>
      </c>
    </row>
    <row r="64" spans="2:9" ht="39.75" customHeight="1">
      <c r="B64" s="112" t="s">
        <v>706</v>
      </c>
      <c r="C64" s="5">
        <v>357</v>
      </c>
      <c r="D64" s="154">
        <v>202</v>
      </c>
      <c r="E64" s="154">
        <v>195</v>
      </c>
      <c r="F64" s="154">
        <v>7</v>
      </c>
      <c r="G64" s="154">
        <v>155</v>
      </c>
      <c r="H64" s="141">
        <v>56.7</v>
      </c>
      <c r="I64" s="183">
        <v>3.63</v>
      </c>
    </row>
    <row r="65" spans="2:9" ht="39.75" customHeight="1">
      <c r="B65" s="112" t="s">
        <v>707</v>
      </c>
      <c r="C65" s="5">
        <v>360</v>
      </c>
      <c r="D65" s="154">
        <v>204</v>
      </c>
      <c r="E65" s="154">
        <v>194</v>
      </c>
      <c r="F65" s="154">
        <v>10</v>
      </c>
      <c r="G65" s="154">
        <v>155</v>
      </c>
      <c r="H65" s="141">
        <v>56.82</v>
      </c>
      <c r="I65" s="183">
        <v>5.01</v>
      </c>
    </row>
    <row r="66" spans="2:9" ht="39.75" customHeight="1">
      <c r="B66" s="112" t="s">
        <v>708</v>
      </c>
      <c r="C66" s="5">
        <v>362</v>
      </c>
      <c r="D66" s="154">
        <v>204</v>
      </c>
      <c r="E66" s="154">
        <v>193</v>
      </c>
      <c r="F66" s="154">
        <v>11</v>
      </c>
      <c r="G66" s="154">
        <v>159</v>
      </c>
      <c r="H66" s="141">
        <v>56.21</v>
      </c>
      <c r="I66" s="183">
        <v>5.42</v>
      </c>
    </row>
    <row r="67" spans="2:9" ht="34.5" customHeight="1" hidden="1">
      <c r="B67" s="115" t="s">
        <v>527</v>
      </c>
      <c r="C67" s="5">
        <v>362</v>
      </c>
      <c r="D67" s="154">
        <v>204</v>
      </c>
      <c r="E67" s="154">
        <v>192</v>
      </c>
      <c r="F67" s="154">
        <v>11</v>
      </c>
      <c r="G67" s="154">
        <v>159</v>
      </c>
      <c r="H67" s="696">
        <v>56.2</v>
      </c>
      <c r="I67" s="697">
        <v>5.6</v>
      </c>
    </row>
    <row r="68" spans="2:9" ht="34.5" customHeight="1" hidden="1">
      <c r="B68" s="115" t="s">
        <v>528</v>
      </c>
      <c r="C68" s="5">
        <v>362</v>
      </c>
      <c r="D68" s="154">
        <v>203</v>
      </c>
      <c r="E68" s="154">
        <v>192</v>
      </c>
      <c r="F68" s="154">
        <v>11</v>
      </c>
      <c r="G68" s="154">
        <v>160</v>
      </c>
      <c r="H68" s="696">
        <v>56</v>
      </c>
      <c r="I68" s="697">
        <v>5.4</v>
      </c>
    </row>
    <row r="69" spans="2:9" ht="34.5" customHeight="1" hidden="1">
      <c r="B69" s="115" t="s">
        <v>529</v>
      </c>
      <c r="C69" s="5">
        <v>363</v>
      </c>
      <c r="D69" s="154">
        <v>206</v>
      </c>
      <c r="E69" s="154">
        <v>195</v>
      </c>
      <c r="F69" s="154">
        <v>11</v>
      </c>
      <c r="G69" s="154">
        <v>157</v>
      </c>
      <c r="H69" s="696">
        <v>56.7</v>
      </c>
      <c r="I69" s="697">
        <v>5.4</v>
      </c>
    </row>
    <row r="70" spans="2:9" ht="34.5" customHeight="1" hidden="1">
      <c r="B70" s="115" t="s">
        <v>530</v>
      </c>
      <c r="C70" s="5">
        <v>362</v>
      </c>
      <c r="D70" s="154">
        <v>203</v>
      </c>
      <c r="E70" s="154">
        <v>192</v>
      </c>
      <c r="F70" s="154">
        <v>11</v>
      </c>
      <c r="G70" s="154">
        <v>160</v>
      </c>
      <c r="H70" s="696">
        <v>56</v>
      </c>
      <c r="I70" s="697">
        <v>5.3</v>
      </c>
    </row>
    <row r="71" spans="2:9" ht="39.75" customHeight="1">
      <c r="B71" s="112" t="s">
        <v>709</v>
      </c>
      <c r="C71" s="30">
        <v>362</v>
      </c>
      <c r="D71" s="30">
        <v>202</v>
      </c>
      <c r="E71" s="30">
        <v>191</v>
      </c>
      <c r="F71" s="30">
        <v>10</v>
      </c>
      <c r="G71" s="30">
        <v>161</v>
      </c>
      <c r="H71" s="698">
        <v>55.7</v>
      </c>
      <c r="I71" s="698">
        <v>5.2</v>
      </c>
    </row>
    <row r="72" spans="2:9" ht="34.5" customHeight="1" hidden="1">
      <c r="B72" s="112" t="s">
        <v>527</v>
      </c>
      <c r="C72" s="765">
        <v>362</v>
      </c>
      <c r="D72" s="900">
        <v>200</v>
      </c>
      <c r="E72" s="900">
        <v>190</v>
      </c>
      <c r="F72" s="900">
        <v>10</v>
      </c>
      <c r="G72" s="900">
        <v>162</v>
      </c>
      <c r="H72" s="756">
        <v>55.2</v>
      </c>
      <c r="I72" s="756">
        <v>5.2</v>
      </c>
    </row>
    <row r="73" spans="2:9" ht="34.5" customHeight="1" hidden="1">
      <c r="B73" s="122" t="s">
        <v>1333</v>
      </c>
      <c r="C73" s="765"/>
      <c r="D73" s="900"/>
      <c r="E73" s="900"/>
      <c r="F73" s="900"/>
      <c r="G73" s="900"/>
      <c r="H73" s="756"/>
      <c r="I73" s="756"/>
    </row>
    <row r="74" spans="2:9" ht="34.5" customHeight="1" hidden="1">
      <c r="B74" s="112" t="s">
        <v>528</v>
      </c>
      <c r="C74" s="765">
        <v>362</v>
      </c>
      <c r="D74" s="900">
        <v>199</v>
      </c>
      <c r="E74" s="900">
        <v>189</v>
      </c>
      <c r="F74" s="900">
        <v>10</v>
      </c>
      <c r="G74" s="900">
        <v>162</v>
      </c>
      <c r="H74" s="756">
        <v>55.1</v>
      </c>
      <c r="I74" s="756">
        <v>5.2</v>
      </c>
    </row>
    <row r="75" spans="2:9" ht="34.5" customHeight="1" hidden="1">
      <c r="B75" s="122" t="s">
        <v>1334</v>
      </c>
      <c r="C75" s="901"/>
      <c r="D75" s="755"/>
      <c r="E75" s="755"/>
      <c r="F75" s="755"/>
      <c r="G75" s="755"/>
      <c r="H75" s="919"/>
      <c r="I75" s="919"/>
    </row>
    <row r="76" spans="2:9" ht="34.5" customHeight="1" hidden="1">
      <c r="B76" s="112" t="s">
        <v>529</v>
      </c>
      <c r="C76" s="765">
        <v>362</v>
      </c>
      <c r="D76" s="900">
        <v>205</v>
      </c>
      <c r="E76" s="900">
        <v>194</v>
      </c>
      <c r="F76" s="900">
        <v>11</v>
      </c>
      <c r="G76" s="900">
        <v>157</v>
      </c>
      <c r="H76" s="756">
        <v>56.6</v>
      </c>
      <c r="I76" s="756">
        <v>5.2</v>
      </c>
    </row>
    <row r="77" spans="2:9" ht="34.5" customHeight="1" hidden="1">
      <c r="B77" s="122" t="s">
        <v>1335</v>
      </c>
      <c r="C77" s="765"/>
      <c r="D77" s="900"/>
      <c r="E77" s="900"/>
      <c r="F77" s="900"/>
      <c r="G77" s="900"/>
      <c r="H77" s="756"/>
      <c r="I77" s="756"/>
    </row>
    <row r="78" spans="2:9" ht="34.5" customHeight="1" hidden="1">
      <c r="B78" s="112" t="s">
        <v>530</v>
      </c>
      <c r="C78" s="765">
        <v>362</v>
      </c>
      <c r="D78" s="900">
        <v>202</v>
      </c>
      <c r="E78" s="900">
        <v>193</v>
      </c>
      <c r="F78" s="900">
        <v>10</v>
      </c>
      <c r="G78" s="900">
        <v>161</v>
      </c>
      <c r="H78" s="756">
        <v>55.7</v>
      </c>
      <c r="I78" s="756">
        <v>5.2</v>
      </c>
    </row>
    <row r="79" spans="2:9" ht="34.5" customHeight="1" hidden="1">
      <c r="B79" s="122" t="s">
        <v>1336</v>
      </c>
      <c r="C79" s="765"/>
      <c r="D79" s="900"/>
      <c r="E79" s="900"/>
      <c r="F79" s="900"/>
      <c r="G79" s="900"/>
      <c r="H79" s="756"/>
      <c r="I79" s="756"/>
    </row>
    <row r="80" spans="2:9" ht="39.75" customHeight="1">
      <c r="B80" s="112" t="s">
        <v>710</v>
      </c>
      <c r="C80" s="168">
        <v>364</v>
      </c>
      <c r="D80" s="158">
        <v>205</v>
      </c>
      <c r="E80" s="158">
        <v>195</v>
      </c>
      <c r="F80" s="158">
        <v>9</v>
      </c>
      <c r="G80" s="158">
        <v>160</v>
      </c>
      <c r="H80" s="699">
        <v>56.2</v>
      </c>
      <c r="I80" s="700">
        <v>4.6</v>
      </c>
    </row>
    <row r="81" spans="2:9" ht="31.5" customHeight="1" hidden="1">
      <c r="B81" s="112" t="s">
        <v>711</v>
      </c>
      <c r="C81" s="765">
        <v>363</v>
      </c>
      <c r="D81" s="900">
        <v>203</v>
      </c>
      <c r="E81" s="900">
        <v>194</v>
      </c>
      <c r="F81" s="158">
        <v>10</v>
      </c>
      <c r="G81" s="158">
        <v>160</v>
      </c>
      <c r="H81" s="756">
        <v>56</v>
      </c>
      <c r="I81" s="756">
        <v>4.7</v>
      </c>
    </row>
    <row r="82" spans="2:9" ht="31.5" customHeight="1" hidden="1">
      <c r="B82" s="122" t="s">
        <v>1333</v>
      </c>
      <c r="C82" s="765"/>
      <c r="D82" s="900"/>
      <c r="E82" s="900"/>
      <c r="F82" s="158"/>
      <c r="G82" s="158"/>
      <c r="H82" s="756"/>
      <c r="I82" s="756"/>
    </row>
    <row r="83" spans="2:9" ht="31.5" customHeight="1" hidden="1">
      <c r="B83" s="112" t="s">
        <v>712</v>
      </c>
      <c r="C83" s="765">
        <v>364</v>
      </c>
      <c r="D83" s="900">
        <v>204</v>
      </c>
      <c r="E83" s="900">
        <v>194</v>
      </c>
      <c r="F83" s="158">
        <v>10</v>
      </c>
      <c r="G83" s="158">
        <v>160</v>
      </c>
      <c r="H83" s="756">
        <v>56.1</v>
      </c>
      <c r="I83" s="756">
        <v>4.7</v>
      </c>
    </row>
    <row r="84" spans="2:9" ht="31.5" customHeight="1" hidden="1">
      <c r="B84" s="122" t="s">
        <v>1334</v>
      </c>
      <c r="C84" s="765"/>
      <c r="D84" s="900"/>
      <c r="E84" s="900"/>
      <c r="F84" s="158"/>
      <c r="G84" s="158"/>
      <c r="H84" s="756"/>
      <c r="I84" s="756"/>
    </row>
    <row r="85" spans="2:9" ht="31.5" customHeight="1" hidden="1">
      <c r="B85" s="112" t="s">
        <v>713</v>
      </c>
      <c r="C85" s="765">
        <v>364</v>
      </c>
      <c r="D85" s="900">
        <v>209</v>
      </c>
      <c r="E85" s="900">
        <v>199</v>
      </c>
      <c r="F85" s="158">
        <v>10</v>
      </c>
      <c r="G85" s="158">
        <v>155</v>
      </c>
      <c r="H85" s="756">
        <v>57.4</v>
      </c>
      <c r="I85" s="756">
        <v>4.7</v>
      </c>
    </row>
    <row r="86" spans="2:9" ht="31.5" customHeight="1" hidden="1">
      <c r="B86" s="122" t="s">
        <v>1335</v>
      </c>
      <c r="C86" s="765"/>
      <c r="D86" s="900"/>
      <c r="E86" s="900"/>
      <c r="F86" s="158"/>
      <c r="G86" s="158"/>
      <c r="H86" s="756"/>
      <c r="I86" s="756"/>
    </row>
    <row r="87" spans="2:9" ht="31.5" customHeight="1" hidden="1">
      <c r="B87" s="112" t="s">
        <v>714</v>
      </c>
      <c r="C87" s="765">
        <v>365</v>
      </c>
      <c r="D87" s="900">
        <v>201</v>
      </c>
      <c r="E87" s="900">
        <v>193</v>
      </c>
      <c r="F87" s="158">
        <v>9</v>
      </c>
      <c r="G87" s="158">
        <v>164</v>
      </c>
      <c r="H87" s="756">
        <v>55.2</v>
      </c>
      <c r="I87" s="756">
        <v>4.3</v>
      </c>
    </row>
    <row r="88" spans="2:9" ht="31.5" customHeight="1" hidden="1">
      <c r="B88" s="122" t="s">
        <v>1336</v>
      </c>
      <c r="C88" s="765"/>
      <c r="D88" s="900"/>
      <c r="E88" s="900"/>
      <c r="F88" s="158"/>
      <c r="G88" s="158"/>
      <c r="H88" s="756"/>
      <c r="I88" s="756"/>
    </row>
    <row r="89" spans="2:9" ht="39.75" customHeight="1">
      <c r="B89" s="112" t="s">
        <v>715</v>
      </c>
      <c r="C89" s="5">
        <v>367</v>
      </c>
      <c r="D89" s="5">
        <v>208</v>
      </c>
      <c r="E89" s="5">
        <v>199</v>
      </c>
      <c r="F89" s="158">
        <v>9</v>
      </c>
      <c r="G89" s="158">
        <v>160</v>
      </c>
      <c r="H89" s="148">
        <v>56.5</v>
      </c>
      <c r="I89" s="148">
        <v>4.3</v>
      </c>
    </row>
    <row r="90" spans="2:9" ht="19.5" customHeight="1" hidden="1">
      <c r="B90" s="112" t="s">
        <v>711</v>
      </c>
      <c r="C90" s="765">
        <v>365</v>
      </c>
      <c r="D90" s="900">
        <v>205</v>
      </c>
      <c r="E90" s="900">
        <v>195</v>
      </c>
      <c r="F90" s="900">
        <v>9</v>
      </c>
      <c r="G90" s="900">
        <v>161</v>
      </c>
      <c r="H90" s="756">
        <v>56</v>
      </c>
      <c r="I90" s="756">
        <v>4.4</v>
      </c>
    </row>
    <row r="91" spans="2:9" ht="19.5" customHeight="1" hidden="1">
      <c r="B91" s="122" t="s">
        <v>1333</v>
      </c>
      <c r="C91" s="765"/>
      <c r="D91" s="900"/>
      <c r="E91" s="900"/>
      <c r="F91" s="900"/>
      <c r="G91" s="900"/>
      <c r="H91" s="756"/>
      <c r="I91" s="756"/>
    </row>
    <row r="92" spans="2:9" ht="19.5" customHeight="1" hidden="1">
      <c r="B92" s="112" t="s">
        <v>567</v>
      </c>
      <c r="C92" s="765">
        <v>366</v>
      </c>
      <c r="D92" s="900">
        <v>207</v>
      </c>
      <c r="E92" s="900">
        <v>198</v>
      </c>
      <c r="F92" s="900">
        <v>9</v>
      </c>
      <c r="G92" s="900">
        <v>159</v>
      </c>
      <c r="H92" s="756">
        <v>56.6</v>
      </c>
      <c r="I92" s="756">
        <v>4.4</v>
      </c>
    </row>
    <row r="93" spans="2:9" ht="19.5" customHeight="1" hidden="1">
      <c r="B93" s="122" t="s">
        <v>568</v>
      </c>
      <c r="C93" s="765"/>
      <c r="D93" s="900"/>
      <c r="E93" s="900"/>
      <c r="F93" s="900"/>
      <c r="G93" s="900"/>
      <c r="H93" s="756"/>
      <c r="I93" s="756"/>
    </row>
    <row r="94" spans="2:9" ht="19.5" customHeight="1" hidden="1">
      <c r="B94" s="112" t="s">
        <v>569</v>
      </c>
      <c r="C94" s="765">
        <v>368</v>
      </c>
      <c r="D94" s="900">
        <v>208</v>
      </c>
      <c r="E94" s="900">
        <v>199</v>
      </c>
      <c r="F94" s="900">
        <v>9</v>
      </c>
      <c r="G94" s="900">
        <v>160</v>
      </c>
      <c r="H94" s="756">
        <v>56.5</v>
      </c>
      <c r="I94" s="756">
        <v>4.2</v>
      </c>
    </row>
    <row r="95" spans="2:9" ht="19.5" customHeight="1" hidden="1">
      <c r="B95" s="122" t="s">
        <v>570</v>
      </c>
      <c r="C95" s="765"/>
      <c r="D95" s="900"/>
      <c r="E95" s="900"/>
      <c r="F95" s="900"/>
      <c r="G95" s="900"/>
      <c r="H95" s="756"/>
      <c r="I95" s="756"/>
    </row>
    <row r="96" spans="2:9" ht="39.75" customHeight="1">
      <c r="B96" s="112" t="s">
        <v>716</v>
      </c>
      <c r="C96" s="5">
        <v>370</v>
      </c>
      <c r="D96" s="5">
        <v>214</v>
      </c>
      <c r="E96" s="5">
        <v>205</v>
      </c>
      <c r="F96" s="5">
        <v>9</v>
      </c>
      <c r="G96" s="5">
        <v>156</v>
      </c>
      <c r="H96" s="148">
        <v>57.8</v>
      </c>
      <c r="I96" s="148">
        <v>4.1</v>
      </c>
    </row>
    <row r="97" spans="2:9" ht="19.5" customHeight="1" hidden="1">
      <c r="B97" s="112" t="s">
        <v>567</v>
      </c>
      <c r="C97" s="765">
        <v>369</v>
      </c>
      <c r="D97" s="900">
        <v>211</v>
      </c>
      <c r="E97" s="900">
        <v>202</v>
      </c>
      <c r="F97" s="900">
        <v>9</v>
      </c>
      <c r="G97" s="900">
        <v>158</v>
      </c>
      <c r="H97" s="756">
        <v>57.1</v>
      </c>
      <c r="I97" s="756">
        <v>4.1</v>
      </c>
    </row>
    <row r="98" spans="2:9" ht="19.5" customHeight="1" hidden="1">
      <c r="B98" s="122" t="s">
        <v>568</v>
      </c>
      <c r="C98" s="765"/>
      <c r="D98" s="900"/>
      <c r="E98" s="900"/>
      <c r="F98" s="900"/>
      <c r="G98" s="900"/>
      <c r="H98" s="756"/>
      <c r="I98" s="756"/>
    </row>
    <row r="99" spans="1:10" ht="19.5" customHeight="1" hidden="1">
      <c r="A99" s="99"/>
      <c r="B99" s="112" t="s">
        <v>569</v>
      </c>
      <c r="C99" s="765">
        <v>370</v>
      </c>
      <c r="D99" s="900">
        <v>217</v>
      </c>
      <c r="E99" s="900">
        <v>208</v>
      </c>
      <c r="F99" s="900">
        <v>9</v>
      </c>
      <c r="G99" s="900">
        <v>153</v>
      </c>
      <c r="H99" s="756">
        <v>58.6</v>
      </c>
      <c r="I99" s="756">
        <v>4.1</v>
      </c>
      <c r="J99" s="99"/>
    </row>
    <row r="100" spans="1:10" ht="19.5" customHeight="1" hidden="1">
      <c r="A100" s="99"/>
      <c r="B100" s="122" t="s">
        <v>570</v>
      </c>
      <c r="C100" s="765"/>
      <c r="D100" s="900"/>
      <c r="E100" s="900"/>
      <c r="F100" s="900"/>
      <c r="G100" s="900"/>
      <c r="H100" s="756"/>
      <c r="I100" s="756"/>
      <c r="J100" s="99"/>
    </row>
    <row r="101" spans="1:10" ht="39.75" customHeight="1">
      <c r="A101" s="99"/>
      <c r="B101" s="112" t="s">
        <v>717</v>
      </c>
      <c r="C101" s="168">
        <v>372</v>
      </c>
      <c r="D101" s="5">
        <v>217</v>
      </c>
      <c r="E101" s="5">
        <v>208.5</v>
      </c>
      <c r="F101" s="5">
        <v>9</v>
      </c>
      <c r="G101" s="5">
        <v>155</v>
      </c>
      <c r="H101" s="148">
        <v>58.35</v>
      </c>
      <c r="I101" s="148">
        <v>4.05</v>
      </c>
      <c r="J101" s="99"/>
    </row>
    <row r="102" spans="1:10" ht="19.5" customHeight="1" hidden="1">
      <c r="A102" s="99"/>
      <c r="B102" s="112" t="s">
        <v>567</v>
      </c>
      <c r="C102" s="765">
        <v>371</v>
      </c>
      <c r="D102" s="900">
        <v>216</v>
      </c>
      <c r="E102" s="900">
        <v>208</v>
      </c>
      <c r="F102" s="900">
        <v>9</v>
      </c>
      <c r="G102" s="900">
        <v>155</v>
      </c>
      <c r="H102" s="756">
        <v>58.3</v>
      </c>
      <c r="I102" s="756">
        <v>4</v>
      </c>
      <c r="J102" s="99"/>
    </row>
    <row r="103" spans="1:10" ht="19.5" customHeight="1" hidden="1">
      <c r="A103" s="99"/>
      <c r="B103" s="122" t="s">
        <v>568</v>
      </c>
      <c r="C103" s="765"/>
      <c r="D103" s="900"/>
      <c r="E103" s="900"/>
      <c r="F103" s="900"/>
      <c r="G103" s="900"/>
      <c r="H103" s="756"/>
      <c r="I103" s="756"/>
      <c r="J103" s="99"/>
    </row>
    <row r="104" spans="1:10" ht="19.5" customHeight="1" hidden="1">
      <c r="A104" s="99"/>
      <c r="B104" s="112" t="s">
        <v>569</v>
      </c>
      <c r="C104" s="765">
        <v>373</v>
      </c>
      <c r="D104" s="900">
        <v>218</v>
      </c>
      <c r="E104" s="900">
        <v>209</v>
      </c>
      <c r="F104" s="900">
        <v>9</v>
      </c>
      <c r="G104" s="900">
        <v>155</v>
      </c>
      <c r="H104" s="756">
        <v>58.4</v>
      </c>
      <c r="I104" s="756">
        <v>4.1</v>
      </c>
      <c r="J104" s="99"/>
    </row>
    <row r="105" spans="1:10" ht="19.5" customHeight="1" hidden="1">
      <c r="A105" s="99"/>
      <c r="B105" s="122" t="s">
        <v>570</v>
      </c>
      <c r="C105" s="765"/>
      <c r="D105" s="900"/>
      <c r="E105" s="900"/>
      <c r="F105" s="900"/>
      <c r="G105" s="900"/>
      <c r="H105" s="756"/>
      <c r="I105" s="756"/>
      <c r="J105" s="99"/>
    </row>
    <row r="106" spans="1:10" ht="39.75" customHeight="1">
      <c r="A106" s="99"/>
      <c r="B106" s="112" t="s">
        <v>718</v>
      </c>
      <c r="C106" s="168">
        <v>375.5</v>
      </c>
      <c r="D106" s="5">
        <v>213</v>
      </c>
      <c r="E106" s="5">
        <v>204</v>
      </c>
      <c r="F106" s="5">
        <v>9</v>
      </c>
      <c r="G106" s="5">
        <v>162</v>
      </c>
      <c r="H106" s="148">
        <v>56.75</v>
      </c>
      <c r="I106" s="148">
        <v>4.3</v>
      </c>
      <c r="J106" s="99"/>
    </row>
    <row r="107" spans="1:10" ht="19.5" customHeight="1" hidden="1">
      <c r="A107" s="99"/>
      <c r="B107" s="112" t="s">
        <v>567</v>
      </c>
      <c r="C107" s="765">
        <v>374</v>
      </c>
      <c r="D107" s="900">
        <v>212</v>
      </c>
      <c r="E107" s="900">
        <v>204</v>
      </c>
      <c r="F107" s="900">
        <v>9</v>
      </c>
      <c r="G107" s="900">
        <v>162</v>
      </c>
      <c r="H107" s="756">
        <v>56.6</v>
      </c>
      <c r="I107" s="756">
        <v>4.1</v>
      </c>
      <c r="J107" s="99"/>
    </row>
    <row r="108" spans="1:10" ht="19.5" customHeight="1" hidden="1">
      <c r="A108" s="99"/>
      <c r="B108" s="122" t="s">
        <v>568</v>
      </c>
      <c r="C108" s="765"/>
      <c r="D108" s="900"/>
      <c r="E108" s="900"/>
      <c r="F108" s="900"/>
      <c r="G108" s="900"/>
      <c r="H108" s="756"/>
      <c r="I108" s="756"/>
      <c r="J108" s="99"/>
    </row>
    <row r="109" spans="1:10" ht="19.5" customHeight="1" hidden="1">
      <c r="A109" s="99"/>
      <c r="B109" s="112" t="s">
        <v>569</v>
      </c>
      <c r="C109" s="765">
        <v>377</v>
      </c>
      <c r="D109" s="900">
        <v>215</v>
      </c>
      <c r="E109" s="900">
        <v>205</v>
      </c>
      <c r="F109" s="900">
        <v>10</v>
      </c>
      <c r="G109" s="900">
        <v>162</v>
      </c>
      <c r="H109" s="756">
        <v>56.9</v>
      </c>
      <c r="I109" s="756">
        <v>4.5</v>
      </c>
      <c r="J109" s="99"/>
    </row>
    <row r="110" spans="1:10" ht="19.5" customHeight="1" hidden="1">
      <c r="A110" s="99"/>
      <c r="B110" s="122" t="s">
        <v>570</v>
      </c>
      <c r="C110" s="765"/>
      <c r="D110" s="900"/>
      <c r="E110" s="900"/>
      <c r="F110" s="900"/>
      <c r="G110" s="900"/>
      <c r="H110" s="756"/>
      <c r="I110" s="756"/>
      <c r="J110" s="99"/>
    </row>
    <row r="111" spans="1:10" ht="39.75" customHeight="1">
      <c r="A111" s="99"/>
      <c r="B111" s="112" t="s">
        <v>719</v>
      </c>
      <c r="C111" s="168">
        <v>380</v>
      </c>
      <c r="D111" s="5">
        <v>215</v>
      </c>
      <c r="E111" s="5">
        <v>203</v>
      </c>
      <c r="F111" s="5">
        <v>12</v>
      </c>
      <c r="G111" s="5">
        <v>165</v>
      </c>
      <c r="H111" s="148">
        <v>56.6</v>
      </c>
      <c r="I111" s="148">
        <v>5.7</v>
      </c>
      <c r="J111" s="99"/>
    </row>
    <row r="112" spans="1:10" ht="19.5" customHeight="1">
      <c r="A112" s="99"/>
      <c r="B112" s="112" t="s">
        <v>567</v>
      </c>
      <c r="C112" s="765">
        <v>379</v>
      </c>
      <c r="D112" s="900">
        <v>213</v>
      </c>
      <c r="E112" s="900">
        <v>201</v>
      </c>
      <c r="F112" s="900">
        <v>12</v>
      </c>
      <c r="G112" s="900">
        <v>166</v>
      </c>
      <c r="H112" s="756">
        <v>56.1</v>
      </c>
      <c r="I112" s="756">
        <v>5.5</v>
      </c>
      <c r="J112" s="99"/>
    </row>
    <row r="113" spans="1:10" ht="19.5" customHeight="1">
      <c r="A113" s="99"/>
      <c r="B113" s="122" t="s">
        <v>568</v>
      </c>
      <c r="C113" s="765"/>
      <c r="D113" s="900"/>
      <c r="E113" s="900"/>
      <c r="F113" s="900"/>
      <c r="G113" s="900"/>
      <c r="H113" s="756"/>
      <c r="I113" s="756"/>
      <c r="J113" s="99"/>
    </row>
    <row r="114" spans="1:10" ht="19.5" customHeight="1">
      <c r="A114" s="99"/>
      <c r="B114" s="112" t="s">
        <v>569</v>
      </c>
      <c r="C114" s="765">
        <v>382</v>
      </c>
      <c r="D114" s="900">
        <v>218</v>
      </c>
      <c r="E114" s="900">
        <v>205</v>
      </c>
      <c r="F114" s="900">
        <v>13</v>
      </c>
      <c r="G114" s="900">
        <v>164</v>
      </c>
      <c r="H114" s="756">
        <v>57.1</v>
      </c>
      <c r="I114" s="756">
        <v>5.9</v>
      </c>
      <c r="J114" s="99"/>
    </row>
    <row r="115" spans="1:10" ht="19.5" customHeight="1">
      <c r="A115" s="99"/>
      <c r="B115" s="122" t="s">
        <v>570</v>
      </c>
      <c r="C115" s="765"/>
      <c r="D115" s="900"/>
      <c r="E115" s="900"/>
      <c r="F115" s="900"/>
      <c r="G115" s="900"/>
      <c r="H115" s="756"/>
      <c r="I115" s="756"/>
      <c r="J115" s="99"/>
    </row>
    <row r="116" spans="1:10" ht="39.75" customHeight="1">
      <c r="A116" s="99"/>
      <c r="B116" s="666" t="s">
        <v>889</v>
      </c>
      <c r="C116" s="168">
        <v>383</v>
      </c>
      <c r="D116" s="5">
        <v>222</v>
      </c>
      <c r="E116" s="5">
        <v>210</v>
      </c>
      <c r="F116" s="5">
        <v>11</v>
      </c>
      <c r="G116" s="5">
        <v>162</v>
      </c>
      <c r="H116" s="148">
        <v>57.8</v>
      </c>
      <c r="I116" s="148">
        <v>5.1</v>
      </c>
      <c r="J116" s="726"/>
    </row>
    <row r="117" spans="1:10" ht="19.5" customHeight="1">
      <c r="A117" s="99"/>
      <c r="B117" s="666" t="s">
        <v>567</v>
      </c>
      <c r="C117" s="803">
        <v>383</v>
      </c>
      <c r="D117" s="894">
        <v>219</v>
      </c>
      <c r="E117" s="894">
        <v>207</v>
      </c>
      <c r="F117" s="894">
        <v>12</v>
      </c>
      <c r="G117" s="894">
        <v>164</v>
      </c>
      <c r="H117" s="757">
        <v>57.1</v>
      </c>
      <c r="I117" s="757">
        <v>5.4</v>
      </c>
      <c r="J117" s="99"/>
    </row>
    <row r="118" spans="1:10" ht="19.5" customHeight="1">
      <c r="A118" s="99"/>
      <c r="B118" s="667" t="s">
        <v>568</v>
      </c>
      <c r="C118" s="803"/>
      <c r="D118" s="894"/>
      <c r="E118" s="894"/>
      <c r="F118" s="894"/>
      <c r="G118" s="894"/>
      <c r="H118" s="757"/>
      <c r="I118" s="757"/>
      <c r="J118" s="99"/>
    </row>
    <row r="119" spans="1:10" ht="19.5" customHeight="1">
      <c r="A119" s="99"/>
      <c r="B119" s="112" t="s">
        <v>569</v>
      </c>
      <c r="C119" s="803">
        <v>384</v>
      </c>
      <c r="D119" s="894">
        <v>225</v>
      </c>
      <c r="E119" s="894">
        <v>214</v>
      </c>
      <c r="F119" s="894">
        <v>11</v>
      </c>
      <c r="G119" s="894">
        <v>159</v>
      </c>
      <c r="H119" s="757">
        <v>58.6</v>
      </c>
      <c r="I119" s="757">
        <v>4.8</v>
      </c>
      <c r="J119" s="99"/>
    </row>
    <row r="120" spans="1:10" ht="19.5" customHeight="1" thickBot="1">
      <c r="A120" s="99"/>
      <c r="B120" s="122" t="s">
        <v>570</v>
      </c>
      <c r="C120" s="805"/>
      <c r="D120" s="832"/>
      <c r="E120" s="832"/>
      <c r="F120" s="832"/>
      <c r="G120" s="832"/>
      <c r="H120" s="758"/>
      <c r="I120" s="758"/>
      <c r="J120" s="99"/>
    </row>
    <row r="121" spans="2:3" ht="14.25" customHeight="1">
      <c r="B121" s="727" t="s">
        <v>890</v>
      </c>
      <c r="C121" s="188"/>
    </row>
    <row r="122" spans="2:3" ht="20.25" customHeight="1">
      <c r="B122" s="114" t="s">
        <v>891</v>
      </c>
      <c r="C122" s="189"/>
    </row>
    <row r="123" spans="1:10" ht="21.75" customHeight="1">
      <c r="A123" s="899" t="s">
        <v>571</v>
      </c>
      <c r="B123" s="899"/>
      <c r="C123" s="899"/>
      <c r="D123" s="899"/>
      <c r="E123" s="899"/>
      <c r="F123" s="899"/>
      <c r="G123" s="899"/>
      <c r="H123" s="899"/>
      <c r="I123" s="899"/>
      <c r="J123" s="899"/>
    </row>
    <row r="124" spans="13:19" ht="21" customHeight="1">
      <c r="M124" s="104" t="s">
        <v>892</v>
      </c>
      <c r="N124" s="144"/>
      <c r="O124" s="144"/>
      <c r="P124" s="144"/>
      <c r="Q124" s="144"/>
      <c r="R124" s="124" t="s">
        <v>572</v>
      </c>
      <c r="S124" s="124"/>
    </row>
    <row r="125" spans="12:19" ht="20.25" customHeight="1" thickBot="1">
      <c r="L125" s="210"/>
      <c r="M125" s="145" t="s">
        <v>573</v>
      </c>
      <c r="N125" s="196"/>
      <c r="O125" s="144"/>
      <c r="P125" s="144"/>
      <c r="Q125" s="144"/>
      <c r="R125" s="211" t="s">
        <v>574</v>
      </c>
      <c r="S125" s="211"/>
    </row>
    <row r="126" spans="3:18" ht="19.5" customHeight="1">
      <c r="C126" s="135"/>
      <c r="L126" s="860" t="s">
        <v>973</v>
      </c>
      <c r="M126" s="923" t="s">
        <v>575</v>
      </c>
      <c r="N126" s="212" t="s">
        <v>576</v>
      </c>
      <c r="O126" s="856" t="s">
        <v>577</v>
      </c>
      <c r="P126" s="857"/>
      <c r="Q126" s="858"/>
      <c r="R126" s="856" t="s">
        <v>578</v>
      </c>
    </row>
    <row r="127" spans="12:18" ht="19.5" customHeight="1">
      <c r="L127" s="861"/>
      <c r="M127" s="924"/>
      <c r="N127" s="701" t="s">
        <v>974</v>
      </c>
      <c r="O127" s="920" t="s">
        <v>579</v>
      </c>
      <c r="P127" s="921"/>
      <c r="Q127" s="922"/>
      <c r="R127" s="906"/>
    </row>
    <row r="128" spans="12:18" ht="19.5" customHeight="1">
      <c r="L128" s="861"/>
      <c r="M128" s="924"/>
      <c r="N128" s="865" t="s">
        <v>580</v>
      </c>
      <c r="O128" s="905" t="s">
        <v>537</v>
      </c>
      <c r="P128" s="851" t="s">
        <v>581</v>
      </c>
      <c r="Q128" s="851" t="s">
        <v>582</v>
      </c>
      <c r="R128" s="902" t="s">
        <v>583</v>
      </c>
    </row>
    <row r="129" spans="12:18" ht="19.5" customHeight="1">
      <c r="L129" s="874" t="s">
        <v>531</v>
      </c>
      <c r="M129" s="925" t="s">
        <v>1141</v>
      </c>
      <c r="N129" s="794"/>
      <c r="O129" s="906"/>
      <c r="P129" s="868"/>
      <c r="Q129" s="868"/>
      <c r="R129" s="902"/>
    </row>
    <row r="130" spans="12:18" ht="19.5" customHeight="1">
      <c r="L130" s="874"/>
      <c r="M130" s="925"/>
      <c r="N130" s="794"/>
      <c r="O130" s="902" t="s">
        <v>1332</v>
      </c>
      <c r="P130" s="852" t="s">
        <v>584</v>
      </c>
      <c r="Q130" s="852" t="s">
        <v>585</v>
      </c>
      <c r="R130" s="902"/>
    </row>
    <row r="131" spans="12:18" ht="19.5" customHeight="1" thickBot="1">
      <c r="L131" s="875"/>
      <c r="M131" s="926"/>
      <c r="N131" s="845"/>
      <c r="O131" s="903"/>
      <c r="P131" s="904"/>
      <c r="Q131" s="904"/>
      <c r="R131" s="903"/>
    </row>
    <row r="132" spans="12:18" ht="28.5" customHeight="1" hidden="1">
      <c r="L132" s="115" t="s">
        <v>532</v>
      </c>
      <c r="M132" s="154">
        <v>200</v>
      </c>
      <c r="N132" s="154">
        <v>25</v>
      </c>
      <c r="O132" s="702">
        <v>85</v>
      </c>
      <c r="P132" s="154">
        <v>54</v>
      </c>
      <c r="Q132" s="154">
        <v>31</v>
      </c>
      <c r="R132" s="139">
        <v>90</v>
      </c>
    </row>
    <row r="133" spans="12:18" ht="26.25" customHeight="1" hidden="1">
      <c r="L133" s="112" t="s">
        <v>700</v>
      </c>
      <c r="M133" s="154">
        <v>198</v>
      </c>
      <c r="N133" s="154">
        <v>22</v>
      </c>
      <c r="O133" s="158">
        <v>77</v>
      </c>
      <c r="P133" s="154">
        <v>48</v>
      </c>
      <c r="Q133" s="154">
        <v>29</v>
      </c>
      <c r="R133" s="139">
        <v>98</v>
      </c>
    </row>
    <row r="134" spans="12:18" ht="34.5" customHeight="1" hidden="1">
      <c r="L134" s="112" t="s">
        <v>702</v>
      </c>
      <c r="M134" s="154">
        <v>201</v>
      </c>
      <c r="N134" s="154">
        <v>21</v>
      </c>
      <c r="O134" s="158">
        <v>76</v>
      </c>
      <c r="P134" s="154">
        <v>48</v>
      </c>
      <c r="Q134" s="154">
        <v>27</v>
      </c>
      <c r="R134" s="139">
        <v>104</v>
      </c>
    </row>
    <row r="135" spans="12:18" ht="15" customHeight="1" hidden="1">
      <c r="L135" s="122"/>
      <c r="M135" s="154"/>
      <c r="N135" s="154"/>
      <c r="O135" s="158"/>
      <c r="P135" s="154"/>
      <c r="Q135" s="154"/>
      <c r="R135" s="139"/>
    </row>
    <row r="136" spans="12:18" ht="34.5" customHeight="1" hidden="1">
      <c r="L136" s="112" t="s">
        <v>703</v>
      </c>
      <c r="M136" s="5">
        <v>198</v>
      </c>
      <c r="N136" s="5">
        <v>20</v>
      </c>
      <c r="O136" s="158">
        <v>79</v>
      </c>
      <c r="P136" s="154">
        <v>51</v>
      </c>
      <c r="Q136" s="154">
        <v>27</v>
      </c>
      <c r="R136" s="139">
        <v>99</v>
      </c>
    </row>
    <row r="137" spans="12:18" ht="34.5" customHeight="1" hidden="1">
      <c r="L137" s="112" t="s">
        <v>704</v>
      </c>
      <c r="M137" s="5">
        <v>198</v>
      </c>
      <c r="N137" s="5">
        <v>20</v>
      </c>
      <c r="O137" s="158">
        <v>75</v>
      </c>
      <c r="P137" s="154">
        <v>49</v>
      </c>
      <c r="Q137" s="154">
        <v>25</v>
      </c>
      <c r="R137" s="139">
        <v>103</v>
      </c>
    </row>
    <row r="138" spans="12:18" ht="39.75" customHeight="1" hidden="1">
      <c r="L138" s="112" t="s">
        <v>705</v>
      </c>
      <c r="M138" s="5">
        <v>196</v>
      </c>
      <c r="N138" s="5">
        <v>20</v>
      </c>
      <c r="O138" s="158">
        <v>70</v>
      </c>
      <c r="P138" s="154">
        <v>47</v>
      </c>
      <c r="Q138" s="154">
        <v>24</v>
      </c>
      <c r="R138" s="139">
        <v>107</v>
      </c>
    </row>
    <row r="139" spans="12:18" ht="39.75" customHeight="1">
      <c r="L139" s="112" t="s">
        <v>706</v>
      </c>
      <c r="M139" s="5">
        <v>195</v>
      </c>
      <c r="N139" s="5">
        <v>18</v>
      </c>
      <c r="O139" s="158">
        <v>71</v>
      </c>
      <c r="P139" s="154">
        <v>47</v>
      </c>
      <c r="Q139" s="154">
        <v>24</v>
      </c>
      <c r="R139" s="139">
        <v>107</v>
      </c>
    </row>
    <row r="140" spans="12:18" ht="39.75" customHeight="1">
      <c r="L140" s="112" t="s">
        <v>707</v>
      </c>
      <c r="M140" s="5">
        <v>194</v>
      </c>
      <c r="N140" s="5">
        <v>17</v>
      </c>
      <c r="O140" s="158">
        <v>71</v>
      </c>
      <c r="P140" s="154">
        <v>49</v>
      </c>
      <c r="Q140" s="154">
        <v>22</v>
      </c>
      <c r="R140" s="139">
        <v>107</v>
      </c>
    </row>
    <row r="141" spans="12:18" ht="39.75" customHeight="1">
      <c r="L141" s="112" t="s">
        <v>708</v>
      </c>
      <c r="M141" s="5">
        <v>193</v>
      </c>
      <c r="N141" s="5">
        <v>18</v>
      </c>
      <c r="O141" s="158">
        <v>68</v>
      </c>
      <c r="P141" s="5">
        <v>47</v>
      </c>
      <c r="Q141" s="5">
        <v>21</v>
      </c>
      <c r="R141" s="5">
        <v>107</v>
      </c>
    </row>
    <row r="142" spans="12:18" ht="28.5" customHeight="1" hidden="1">
      <c r="L142" s="115" t="s">
        <v>527</v>
      </c>
      <c r="M142" s="5">
        <v>192</v>
      </c>
      <c r="N142" s="5">
        <v>20</v>
      </c>
      <c r="O142" s="158">
        <v>68</v>
      </c>
      <c r="P142" s="5">
        <v>48</v>
      </c>
      <c r="Q142" s="5">
        <v>20</v>
      </c>
      <c r="R142" s="5">
        <v>104</v>
      </c>
    </row>
    <row r="143" spans="12:18" ht="28.5" customHeight="1" hidden="1">
      <c r="L143" s="115" t="s">
        <v>528</v>
      </c>
      <c r="M143" s="5">
        <v>192</v>
      </c>
      <c r="N143" s="5">
        <v>20</v>
      </c>
      <c r="O143" s="158">
        <v>69</v>
      </c>
      <c r="P143" s="5">
        <v>45</v>
      </c>
      <c r="Q143" s="5">
        <v>24</v>
      </c>
      <c r="R143" s="5">
        <v>103</v>
      </c>
    </row>
    <row r="144" spans="12:18" ht="28.5" customHeight="1" hidden="1">
      <c r="L144" s="115" t="s">
        <v>529</v>
      </c>
      <c r="M144" s="5">
        <v>195</v>
      </c>
      <c r="N144" s="5">
        <v>18</v>
      </c>
      <c r="O144" s="158">
        <v>70</v>
      </c>
      <c r="P144" s="5">
        <v>47</v>
      </c>
      <c r="Q144" s="5">
        <v>23</v>
      </c>
      <c r="R144" s="5">
        <v>106</v>
      </c>
    </row>
    <row r="145" spans="12:18" ht="28.5" customHeight="1" hidden="1">
      <c r="L145" s="115" t="s">
        <v>530</v>
      </c>
      <c r="M145" s="5">
        <v>192</v>
      </c>
      <c r="N145" s="5">
        <v>16</v>
      </c>
      <c r="O145" s="158">
        <v>64</v>
      </c>
      <c r="P145" s="5">
        <v>47</v>
      </c>
      <c r="Q145" s="5">
        <v>17</v>
      </c>
      <c r="R145" s="5">
        <v>112</v>
      </c>
    </row>
    <row r="146" spans="12:18" ht="39.75" customHeight="1">
      <c r="L146" s="112" t="s">
        <v>709</v>
      </c>
      <c r="M146" s="5">
        <v>191</v>
      </c>
      <c r="N146" s="5">
        <v>19</v>
      </c>
      <c r="O146" s="158">
        <v>63</v>
      </c>
      <c r="P146" s="5">
        <v>44</v>
      </c>
      <c r="Q146" s="5">
        <v>19</v>
      </c>
      <c r="R146" s="5">
        <v>109</v>
      </c>
    </row>
    <row r="147" spans="12:18" ht="28.5" customHeight="1" hidden="1">
      <c r="L147" s="112" t="s">
        <v>893</v>
      </c>
      <c r="M147" s="168">
        <v>190</v>
      </c>
      <c r="N147" s="5">
        <v>20</v>
      </c>
      <c r="O147" s="158">
        <v>64</v>
      </c>
      <c r="P147" s="5">
        <v>44</v>
      </c>
      <c r="Q147" s="5">
        <v>20</v>
      </c>
      <c r="R147" s="5">
        <v>106</v>
      </c>
    </row>
    <row r="148" spans="12:18" ht="12.75" customHeight="1" hidden="1">
      <c r="L148" s="112" t="s">
        <v>528</v>
      </c>
      <c r="M148" s="765">
        <v>189</v>
      </c>
      <c r="N148" s="900">
        <v>17</v>
      </c>
      <c r="O148" s="900">
        <v>64</v>
      </c>
      <c r="P148" s="900">
        <v>43</v>
      </c>
      <c r="Q148" s="900">
        <v>21</v>
      </c>
      <c r="R148" s="900">
        <v>108</v>
      </c>
    </row>
    <row r="149" spans="12:18" ht="12.75" customHeight="1" hidden="1">
      <c r="L149" s="122" t="s">
        <v>1334</v>
      </c>
      <c r="M149" s="765"/>
      <c r="N149" s="900"/>
      <c r="O149" s="900"/>
      <c r="P149" s="900"/>
      <c r="Q149" s="900"/>
      <c r="R149" s="900"/>
    </row>
    <row r="150" spans="12:18" ht="12.75" customHeight="1" hidden="1">
      <c r="L150" s="112" t="s">
        <v>529</v>
      </c>
      <c r="M150" s="765">
        <v>194</v>
      </c>
      <c r="N150" s="900">
        <v>20</v>
      </c>
      <c r="O150" s="900">
        <v>65</v>
      </c>
      <c r="P150" s="900">
        <v>44</v>
      </c>
      <c r="Q150" s="900">
        <v>21</v>
      </c>
      <c r="R150" s="900">
        <v>108</v>
      </c>
    </row>
    <row r="151" spans="12:18" ht="12.75" customHeight="1" hidden="1">
      <c r="L151" s="122" t="s">
        <v>1335</v>
      </c>
      <c r="M151" s="765"/>
      <c r="N151" s="900"/>
      <c r="O151" s="900"/>
      <c r="P151" s="900"/>
      <c r="Q151" s="900"/>
      <c r="R151" s="900"/>
    </row>
    <row r="152" spans="12:18" ht="12.75" customHeight="1" hidden="1">
      <c r="L152" s="112" t="s">
        <v>530</v>
      </c>
      <c r="M152" s="765">
        <v>193</v>
      </c>
      <c r="N152" s="900">
        <v>19</v>
      </c>
      <c r="O152" s="900">
        <v>61</v>
      </c>
      <c r="P152" s="900">
        <v>43</v>
      </c>
      <c r="Q152" s="900">
        <v>18</v>
      </c>
      <c r="R152" s="900">
        <v>113</v>
      </c>
    </row>
    <row r="153" spans="12:18" ht="12.75" customHeight="1" hidden="1">
      <c r="L153" s="122" t="s">
        <v>1336</v>
      </c>
      <c r="M153" s="765"/>
      <c r="N153" s="900"/>
      <c r="O153" s="900"/>
      <c r="P153" s="900"/>
      <c r="Q153" s="900"/>
      <c r="R153" s="900"/>
    </row>
    <row r="154" spans="12:18" ht="39.75" customHeight="1">
      <c r="L154" s="112" t="s">
        <v>710</v>
      </c>
      <c r="M154" s="168">
        <v>195</v>
      </c>
      <c r="N154" s="5">
        <v>18</v>
      </c>
      <c r="O154" s="158">
        <v>67</v>
      </c>
      <c r="P154" s="5">
        <v>45</v>
      </c>
      <c r="Q154" s="5">
        <v>22</v>
      </c>
      <c r="R154" s="5">
        <v>110</v>
      </c>
    </row>
    <row r="155" spans="12:18" ht="13.5" customHeight="1" hidden="1">
      <c r="L155" s="112" t="s">
        <v>711</v>
      </c>
      <c r="M155" s="765">
        <v>194</v>
      </c>
      <c r="N155" s="900">
        <v>20</v>
      </c>
      <c r="O155" s="900">
        <v>60</v>
      </c>
      <c r="P155" s="900">
        <v>41</v>
      </c>
      <c r="Q155" s="900">
        <v>19</v>
      </c>
      <c r="R155" s="900">
        <v>112</v>
      </c>
    </row>
    <row r="156" spans="12:18" ht="13.5" customHeight="1" hidden="1">
      <c r="L156" s="122" t="s">
        <v>1333</v>
      </c>
      <c r="M156" s="765"/>
      <c r="N156" s="900"/>
      <c r="O156" s="900"/>
      <c r="P156" s="900"/>
      <c r="Q156" s="900"/>
      <c r="R156" s="900"/>
    </row>
    <row r="157" spans="12:18" ht="18" customHeight="1" hidden="1">
      <c r="L157" s="112" t="s">
        <v>712</v>
      </c>
      <c r="M157" s="765">
        <v>194</v>
      </c>
      <c r="N157" s="900">
        <v>19</v>
      </c>
      <c r="O157" s="900">
        <v>64</v>
      </c>
      <c r="P157" s="900">
        <v>42</v>
      </c>
      <c r="Q157" s="900">
        <v>22</v>
      </c>
      <c r="R157" s="900">
        <v>112</v>
      </c>
    </row>
    <row r="158" spans="12:18" ht="18" customHeight="1" hidden="1">
      <c r="L158" s="122" t="s">
        <v>1334</v>
      </c>
      <c r="M158" s="901"/>
      <c r="N158" s="755"/>
      <c r="O158" s="755"/>
      <c r="P158" s="755"/>
      <c r="Q158" s="755"/>
      <c r="R158" s="755"/>
    </row>
    <row r="159" spans="12:18" ht="18" customHeight="1" hidden="1">
      <c r="L159" s="112" t="s">
        <v>713</v>
      </c>
      <c r="M159" s="765">
        <v>199</v>
      </c>
      <c r="N159" s="900">
        <v>17</v>
      </c>
      <c r="O159" s="900">
        <v>67</v>
      </c>
      <c r="P159" s="900">
        <v>45</v>
      </c>
      <c r="Q159" s="900">
        <v>22</v>
      </c>
      <c r="R159" s="900">
        <v>116</v>
      </c>
    </row>
    <row r="160" spans="12:18" ht="18" customHeight="1" hidden="1">
      <c r="L160" s="122" t="s">
        <v>1335</v>
      </c>
      <c r="M160" s="901"/>
      <c r="N160" s="755"/>
      <c r="O160" s="755"/>
      <c r="P160" s="755"/>
      <c r="Q160" s="755"/>
      <c r="R160" s="755"/>
    </row>
    <row r="161" spans="12:18" ht="18" customHeight="1" hidden="1">
      <c r="L161" s="112" t="s">
        <v>714</v>
      </c>
      <c r="M161" s="765">
        <v>193</v>
      </c>
      <c r="N161" s="900">
        <v>15</v>
      </c>
      <c r="O161" s="900">
        <v>75</v>
      </c>
      <c r="P161" s="900">
        <v>50</v>
      </c>
      <c r="Q161" s="900">
        <v>15</v>
      </c>
      <c r="R161" s="900">
        <v>102</v>
      </c>
    </row>
    <row r="162" spans="12:18" ht="18" customHeight="1" hidden="1">
      <c r="L162" s="122" t="s">
        <v>1336</v>
      </c>
      <c r="M162" s="901"/>
      <c r="N162" s="755"/>
      <c r="O162" s="755"/>
      <c r="P162" s="755"/>
      <c r="Q162" s="755"/>
      <c r="R162" s="755"/>
    </row>
    <row r="163" spans="12:18" ht="39.75" customHeight="1">
      <c r="L163" s="112" t="s">
        <v>715</v>
      </c>
      <c r="M163" s="168">
        <v>199</v>
      </c>
      <c r="N163" s="5">
        <v>14</v>
      </c>
      <c r="O163" s="158">
        <v>68</v>
      </c>
      <c r="P163" s="5">
        <v>44</v>
      </c>
      <c r="Q163" s="5">
        <v>25</v>
      </c>
      <c r="R163" s="5">
        <v>116</v>
      </c>
    </row>
    <row r="164" spans="12:18" ht="19.5" customHeight="1" hidden="1">
      <c r="L164" s="112" t="s">
        <v>711</v>
      </c>
      <c r="M164" s="765">
        <v>195</v>
      </c>
      <c r="N164" s="900">
        <v>15</v>
      </c>
      <c r="O164" s="900">
        <v>67</v>
      </c>
      <c r="P164" s="900">
        <v>42</v>
      </c>
      <c r="Q164" s="900">
        <v>25</v>
      </c>
      <c r="R164" s="900">
        <v>114</v>
      </c>
    </row>
    <row r="165" spans="12:18" ht="19.5" customHeight="1" hidden="1">
      <c r="L165" s="122" t="s">
        <v>1333</v>
      </c>
      <c r="M165" s="765"/>
      <c r="N165" s="900"/>
      <c r="O165" s="755"/>
      <c r="P165" s="900"/>
      <c r="Q165" s="900"/>
      <c r="R165" s="900"/>
    </row>
    <row r="166" spans="3:18" ht="19.5" customHeight="1" hidden="1">
      <c r="C166" s="3">
        <v>32378</v>
      </c>
      <c r="D166" s="3">
        <v>52330</v>
      </c>
      <c r="E166" s="3">
        <v>38797</v>
      </c>
      <c r="F166" s="3">
        <v>21710</v>
      </c>
      <c r="G166" s="3">
        <v>6004</v>
      </c>
      <c r="H166" s="3">
        <v>6067</v>
      </c>
      <c r="L166" s="112" t="s">
        <v>567</v>
      </c>
      <c r="M166" s="765">
        <v>198</v>
      </c>
      <c r="N166" s="900">
        <v>15</v>
      </c>
      <c r="O166" s="900">
        <v>65</v>
      </c>
      <c r="P166" s="900">
        <v>41</v>
      </c>
      <c r="Q166" s="900">
        <v>24</v>
      </c>
      <c r="R166" s="900">
        <v>118</v>
      </c>
    </row>
    <row r="167" spans="12:18" ht="19.5" customHeight="1" hidden="1">
      <c r="L167" s="122" t="s">
        <v>568</v>
      </c>
      <c r="M167" s="765"/>
      <c r="N167" s="900"/>
      <c r="O167" s="755"/>
      <c r="P167" s="900"/>
      <c r="Q167" s="900"/>
      <c r="R167" s="900"/>
    </row>
    <row r="168" spans="12:18" ht="19.5" customHeight="1" hidden="1">
      <c r="L168" s="112" t="s">
        <v>569</v>
      </c>
      <c r="M168" s="765">
        <v>199</v>
      </c>
      <c r="N168" s="900">
        <v>14</v>
      </c>
      <c r="O168" s="900">
        <v>70</v>
      </c>
      <c r="P168" s="900">
        <v>46</v>
      </c>
      <c r="Q168" s="900">
        <v>24</v>
      </c>
      <c r="R168" s="900">
        <v>115</v>
      </c>
    </row>
    <row r="169" spans="12:18" ht="19.5" customHeight="1" hidden="1">
      <c r="L169" s="122" t="s">
        <v>570</v>
      </c>
      <c r="M169" s="765"/>
      <c r="N169" s="900"/>
      <c r="O169" s="755"/>
      <c r="P169" s="900"/>
      <c r="Q169" s="900"/>
      <c r="R169" s="900"/>
    </row>
    <row r="170" spans="12:18" ht="39.75" customHeight="1">
      <c r="L170" s="112" t="s">
        <v>716</v>
      </c>
      <c r="M170" s="5">
        <v>205</v>
      </c>
      <c r="N170" s="5">
        <v>13</v>
      </c>
      <c r="O170" s="167">
        <v>67</v>
      </c>
      <c r="P170" s="5">
        <v>43</v>
      </c>
      <c r="Q170" s="5">
        <v>24</v>
      </c>
      <c r="R170" s="5">
        <v>126</v>
      </c>
    </row>
    <row r="171" spans="12:18" ht="13.5" customHeight="1" hidden="1">
      <c r="L171" s="112" t="s">
        <v>567</v>
      </c>
      <c r="M171" s="765">
        <v>202</v>
      </c>
      <c r="N171" s="900">
        <v>13</v>
      </c>
      <c r="O171" s="900">
        <v>66</v>
      </c>
      <c r="P171" s="900">
        <v>44</v>
      </c>
      <c r="Q171" s="900">
        <v>22</v>
      </c>
      <c r="R171" s="900">
        <v>123</v>
      </c>
    </row>
    <row r="172" spans="12:18" ht="19.5" customHeight="1" hidden="1">
      <c r="L172" s="122" t="s">
        <v>568</v>
      </c>
      <c r="M172" s="765"/>
      <c r="N172" s="900"/>
      <c r="O172" s="755"/>
      <c r="P172" s="900"/>
      <c r="Q172" s="900"/>
      <c r="R172" s="900"/>
    </row>
    <row r="173" spans="12:18" s="99" customFormat="1" ht="19.5" customHeight="1" hidden="1">
      <c r="L173" s="112" t="s">
        <v>569</v>
      </c>
      <c r="M173" s="765">
        <v>208</v>
      </c>
      <c r="N173" s="900">
        <v>12</v>
      </c>
      <c r="O173" s="900">
        <v>68</v>
      </c>
      <c r="P173" s="900">
        <v>42</v>
      </c>
      <c r="Q173" s="900">
        <v>26</v>
      </c>
      <c r="R173" s="900">
        <v>128</v>
      </c>
    </row>
    <row r="174" spans="12:18" s="99" customFormat="1" ht="19.5" customHeight="1" hidden="1">
      <c r="L174" s="122" t="s">
        <v>570</v>
      </c>
      <c r="M174" s="765"/>
      <c r="N174" s="900"/>
      <c r="O174" s="755"/>
      <c r="P174" s="900"/>
      <c r="Q174" s="900"/>
      <c r="R174" s="900"/>
    </row>
    <row r="175" spans="12:18" ht="39.75" customHeight="1">
      <c r="L175" s="112" t="s">
        <v>717</v>
      </c>
      <c r="M175" s="5">
        <v>208.5</v>
      </c>
      <c r="N175" s="5">
        <v>13.5</v>
      </c>
      <c r="O175" s="167">
        <v>70</v>
      </c>
      <c r="P175" s="5">
        <v>43.5</v>
      </c>
      <c r="Q175" s="5">
        <v>26.5</v>
      </c>
      <c r="R175" s="5">
        <v>125</v>
      </c>
    </row>
    <row r="176" spans="12:18" ht="13.5" customHeight="1" hidden="1">
      <c r="L176" s="112" t="s">
        <v>567</v>
      </c>
      <c r="M176" s="765">
        <v>208</v>
      </c>
      <c r="N176" s="900">
        <v>14</v>
      </c>
      <c r="O176" s="900">
        <v>68</v>
      </c>
      <c r="P176" s="900">
        <v>42</v>
      </c>
      <c r="Q176" s="900">
        <v>26</v>
      </c>
      <c r="R176" s="900">
        <v>126</v>
      </c>
    </row>
    <row r="177" spans="12:18" ht="19.5" customHeight="1" hidden="1">
      <c r="L177" s="122" t="s">
        <v>568</v>
      </c>
      <c r="M177" s="765"/>
      <c r="N177" s="900"/>
      <c r="O177" s="900"/>
      <c r="P177" s="900"/>
      <c r="Q177" s="900"/>
      <c r="R177" s="900"/>
    </row>
    <row r="178" spans="12:18" ht="13.5" customHeight="1" hidden="1">
      <c r="L178" s="112" t="s">
        <v>569</v>
      </c>
      <c r="M178" s="765">
        <v>209</v>
      </c>
      <c r="N178" s="900">
        <v>13</v>
      </c>
      <c r="O178" s="900">
        <v>72</v>
      </c>
      <c r="P178" s="900">
        <v>45</v>
      </c>
      <c r="Q178" s="900">
        <v>27</v>
      </c>
      <c r="R178" s="900">
        <v>124</v>
      </c>
    </row>
    <row r="179" spans="12:18" ht="19.5" customHeight="1" hidden="1">
      <c r="L179" s="122" t="s">
        <v>570</v>
      </c>
      <c r="M179" s="765"/>
      <c r="N179" s="900"/>
      <c r="O179" s="900"/>
      <c r="P179" s="900"/>
      <c r="Q179" s="900"/>
      <c r="R179" s="900"/>
    </row>
    <row r="180" spans="12:18" ht="39.75" customHeight="1">
      <c r="L180" s="112" t="s">
        <v>718</v>
      </c>
      <c r="M180" s="5">
        <v>204</v>
      </c>
      <c r="N180" s="5">
        <v>14</v>
      </c>
      <c r="O180" s="167">
        <v>67</v>
      </c>
      <c r="P180" s="5">
        <v>40</v>
      </c>
      <c r="Q180" s="5">
        <v>27</v>
      </c>
      <c r="R180" s="5">
        <v>123</v>
      </c>
    </row>
    <row r="181" spans="12:18" ht="19.5" customHeight="1" hidden="1">
      <c r="L181" s="112" t="s">
        <v>567</v>
      </c>
      <c r="M181" s="765">
        <v>204</v>
      </c>
      <c r="N181" s="900">
        <v>13</v>
      </c>
      <c r="O181" s="900">
        <v>68</v>
      </c>
      <c r="P181" s="900">
        <v>42</v>
      </c>
      <c r="Q181" s="900">
        <v>26</v>
      </c>
      <c r="R181" s="900">
        <v>123</v>
      </c>
    </row>
    <row r="182" spans="12:18" ht="19.5" customHeight="1" hidden="1">
      <c r="L182" s="122" t="s">
        <v>568</v>
      </c>
      <c r="M182" s="765"/>
      <c r="N182" s="900"/>
      <c r="O182" s="900"/>
      <c r="P182" s="900"/>
      <c r="Q182" s="900"/>
      <c r="R182" s="900"/>
    </row>
    <row r="183" spans="12:18" ht="19.5" customHeight="1" hidden="1">
      <c r="L183" s="112" t="s">
        <v>569</v>
      </c>
      <c r="M183" s="765">
        <v>205</v>
      </c>
      <c r="N183" s="900">
        <v>16</v>
      </c>
      <c r="O183" s="900">
        <v>66</v>
      </c>
      <c r="P183" s="900">
        <v>38</v>
      </c>
      <c r="Q183" s="900">
        <v>28</v>
      </c>
      <c r="R183" s="900">
        <v>123</v>
      </c>
    </row>
    <row r="184" spans="12:18" ht="19.5" customHeight="1" hidden="1">
      <c r="L184" s="122" t="s">
        <v>570</v>
      </c>
      <c r="M184" s="765"/>
      <c r="N184" s="900"/>
      <c r="O184" s="755"/>
      <c r="P184" s="900"/>
      <c r="Q184" s="900"/>
      <c r="R184" s="900"/>
    </row>
    <row r="185" spans="12:18" ht="39.75" customHeight="1">
      <c r="L185" s="112" t="s">
        <v>719</v>
      </c>
      <c r="M185" s="5">
        <v>203</v>
      </c>
      <c r="N185" s="5">
        <v>13</v>
      </c>
      <c r="O185" s="167">
        <v>63</v>
      </c>
      <c r="P185" s="5">
        <v>38</v>
      </c>
      <c r="Q185" s="5">
        <v>25</v>
      </c>
      <c r="R185" s="5">
        <v>126</v>
      </c>
    </row>
    <row r="186" spans="12:18" ht="19.5" customHeight="1">
      <c r="L186" s="112" t="s">
        <v>567</v>
      </c>
      <c r="M186" s="765">
        <v>201</v>
      </c>
      <c r="N186" s="900">
        <v>14</v>
      </c>
      <c r="O186" s="900">
        <v>62</v>
      </c>
      <c r="P186" s="900">
        <v>39</v>
      </c>
      <c r="Q186" s="900">
        <v>23</v>
      </c>
      <c r="R186" s="900">
        <v>125</v>
      </c>
    </row>
    <row r="187" spans="12:18" ht="19.5" customHeight="1">
      <c r="L187" s="122" t="s">
        <v>568</v>
      </c>
      <c r="M187" s="765"/>
      <c r="N187" s="900"/>
      <c r="O187" s="755"/>
      <c r="P187" s="900"/>
      <c r="Q187" s="900"/>
      <c r="R187" s="900"/>
    </row>
    <row r="188" spans="12:18" ht="19.5" customHeight="1">
      <c r="L188" s="112" t="s">
        <v>569</v>
      </c>
      <c r="M188" s="765">
        <v>205</v>
      </c>
      <c r="N188" s="900">
        <v>13</v>
      </c>
      <c r="O188" s="900">
        <v>65</v>
      </c>
      <c r="P188" s="900">
        <v>37</v>
      </c>
      <c r="Q188" s="900">
        <v>28</v>
      </c>
      <c r="R188" s="900">
        <v>127</v>
      </c>
    </row>
    <row r="189" spans="12:18" ht="19.5" customHeight="1">
      <c r="L189" s="122" t="s">
        <v>570</v>
      </c>
      <c r="M189" s="765"/>
      <c r="N189" s="900"/>
      <c r="O189" s="755"/>
      <c r="P189" s="900"/>
      <c r="Q189" s="900"/>
      <c r="R189" s="900"/>
    </row>
    <row r="190" spans="12:19" ht="39.75" customHeight="1">
      <c r="L190" s="666" t="s">
        <v>889</v>
      </c>
      <c r="M190" s="5">
        <v>210</v>
      </c>
      <c r="N190" s="5">
        <v>13</v>
      </c>
      <c r="O190" s="390">
        <v>65</v>
      </c>
      <c r="P190" s="5">
        <v>40</v>
      </c>
      <c r="Q190" s="5">
        <v>25</v>
      </c>
      <c r="R190" s="5">
        <v>132</v>
      </c>
      <c r="S190" s="225"/>
    </row>
    <row r="191" spans="12:19" ht="19.5" customHeight="1">
      <c r="L191" s="666" t="s">
        <v>567</v>
      </c>
      <c r="M191" s="803">
        <v>207</v>
      </c>
      <c r="N191" s="894">
        <v>14</v>
      </c>
      <c r="O191" s="927">
        <v>61</v>
      </c>
      <c r="P191" s="894">
        <v>38</v>
      </c>
      <c r="Q191" s="894">
        <v>23</v>
      </c>
      <c r="R191" s="894">
        <v>132</v>
      </c>
      <c r="S191" s="225"/>
    </row>
    <row r="192" spans="12:19" ht="19.5" customHeight="1">
      <c r="L192" s="667" t="s">
        <v>568</v>
      </c>
      <c r="M192" s="803"/>
      <c r="N192" s="894"/>
      <c r="O192" s="927"/>
      <c r="P192" s="894"/>
      <c r="Q192" s="894"/>
      <c r="R192" s="894"/>
      <c r="S192" s="225"/>
    </row>
    <row r="193" spans="12:19" ht="19.5" customHeight="1">
      <c r="L193" s="112" t="s">
        <v>569</v>
      </c>
      <c r="M193" s="803">
        <v>214</v>
      </c>
      <c r="N193" s="894">
        <v>12</v>
      </c>
      <c r="O193" s="927">
        <v>70</v>
      </c>
      <c r="P193" s="894">
        <v>43</v>
      </c>
      <c r="Q193" s="894">
        <v>27</v>
      </c>
      <c r="R193" s="894">
        <v>132</v>
      </c>
      <c r="S193" s="225"/>
    </row>
    <row r="194" spans="12:19" ht="19.5" customHeight="1" thickBot="1">
      <c r="L194" s="122" t="s">
        <v>570</v>
      </c>
      <c r="M194" s="805"/>
      <c r="N194" s="832"/>
      <c r="O194" s="928"/>
      <c r="P194" s="832"/>
      <c r="Q194" s="832"/>
      <c r="R194" s="832"/>
      <c r="S194" s="225"/>
    </row>
    <row r="195" spans="12:18" ht="15" customHeight="1">
      <c r="L195" s="611" t="s">
        <v>586</v>
      </c>
      <c r="M195" s="703"/>
      <c r="N195" s="612"/>
      <c r="O195" s="612"/>
      <c r="R195" s="612"/>
    </row>
    <row r="196" spans="12:13" ht="15" customHeight="1">
      <c r="L196" s="116" t="s">
        <v>894</v>
      </c>
      <c r="M196" s="99"/>
    </row>
    <row r="197" spans="12:18" ht="30" customHeight="1">
      <c r="L197" s="196" t="s">
        <v>587</v>
      </c>
      <c r="M197" s="144"/>
      <c r="N197" s="144"/>
      <c r="O197" s="144"/>
      <c r="P197" s="144"/>
      <c r="Q197" s="144"/>
      <c r="R197" s="144"/>
    </row>
  </sheetData>
  <mergeCells count="287">
    <mergeCell ref="Q193:Q194"/>
    <mergeCell ref="R193:R194"/>
    <mergeCell ref="M193:M194"/>
    <mergeCell ref="N193:N194"/>
    <mergeCell ref="O193:O194"/>
    <mergeCell ref="P193:P194"/>
    <mergeCell ref="C119:C120"/>
    <mergeCell ref="D119:D120"/>
    <mergeCell ref="E119:E120"/>
    <mergeCell ref="F119:F120"/>
    <mergeCell ref="Q191:Q192"/>
    <mergeCell ref="R191:R192"/>
    <mergeCell ref="N191:N192"/>
    <mergeCell ref="M191:M192"/>
    <mergeCell ref="O191:O192"/>
    <mergeCell ref="P191:P192"/>
    <mergeCell ref="C117:C118"/>
    <mergeCell ref="D117:D118"/>
    <mergeCell ref="E117:E118"/>
    <mergeCell ref="F117:F118"/>
    <mergeCell ref="I102:I103"/>
    <mergeCell ref="I54:I56"/>
    <mergeCell ref="M176:M177"/>
    <mergeCell ref="N176:N177"/>
    <mergeCell ref="I97:I98"/>
    <mergeCell ref="I99:I100"/>
    <mergeCell ref="M155:M156"/>
    <mergeCell ref="M152:M153"/>
    <mergeCell ref="M150:M151"/>
    <mergeCell ref="M173:M174"/>
    <mergeCell ref="A48:J48"/>
    <mergeCell ref="A123:J123"/>
    <mergeCell ref="I112:I113"/>
    <mergeCell ref="G102:G103"/>
    <mergeCell ref="C99:C100"/>
    <mergeCell ref="D99:D100"/>
    <mergeCell ref="E102:E103"/>
    <mergeCell ref="H102:H103"/>
    <mergeCell ref="C102:C103"/>
    <mergeCell ref="C112:C113"/>
    <mergeCell ref="O186:O187"/>
    <mergeCell ref="P186:P187"/>
    <mergeCell ref="M178:M179"/>
    <mergeCell ref="N178:N179"/>
    <mergeCell ref="O178:O179"/>
    <mergeCell ref="M181:M182"/>
    <mergeCell ref="N181:N182"/>
    <mergeCell ref="O181:O182"/>
    <mergeCell ref="M186:M187"/>
    <mergeCell ref="N186:N187"/>
    <mergeCell ref="Q186:Q187"/>
    <mergeCell ref="R186:R187"/>
    <mergeCell ref="P176:P177"/>
    <mergeCell ref="Q176:Q177"/>
    <mergeCell ref="R176:R177"/>
    <mergeCell ref="R178:R179"/>
    <mergeCell ref="Q181:Q182"/>
    <mergeCell ref="R181:R182"/>
    <mergeCell ref="Q178:Q179"/>
    <mergeCell ref="P178:P179"/>
    <mergeCell ref="P168:P169"/>
    <mergeCell ref="D112:D113"/>
    <mergeCell ref="O159:O160"/>
    <mergeCell ref="O152:O153"/>
    <mergeCell ref="E112:E113"/>
    <mergeCell ref="F112:F113"/>
    <mergeCell ref="O168:O169"/>
    <mergeCell ref="M166:M167"/>
    <mergeCell ref="N166:N167"/>
    <mergeCell ref="O166:O167"/>
    <mergeCell ref="C104:C105"/>
    <mergeCell ref="D104:D105"/>
    <mergeCell ref="D109:D110"/>
    <mergeCell ref="H104:H105"/>
    <mergeCell ref="C109:C110"/>
    <mergeCell ref="E109:E110"/>
    <mergeCell ref="Q161:Q162"/>
    <mergeCell ref="Q148:Q149"/>
    <mergeCell ref="Q159:Q160"/>
    <mergeCell ref="Q152:Q153"/>
    <mergeCell ref="Q128:Q129"/>
    <mergeCell ref="H112:H113"/>
    <mergeCell ref="I104:I105"/>
    <mergeCell ref="I107:I108"/>
    <mergeCell ref="L129:L131"/>
    <mergeCell ref="M126:M128"/>
    <mergeCell ref="M129:M131"/>
    <mergeCell ref="I109:I110"/>
    <mergeCell ref="H117:H118"/>
    <mergeCell ref="I117:I118"/>
    <mergeCell ref="H99:H100"/>
    <mergeCell ref="D97:D98"/>
    <mergeCell ref="E97:E98"/>
    <mergeCell ref="F97:F98"/>
    <mergeCell ref="E99:E100"/>
    <mergeCell ref="F99:F100"/>
    <mergeCell ref="R164:R165"/>
    <mergeCell ref="Q164:Q165"/>
    <mergeCell ref="R128:R131"/>
    <mergeCell ref="R148:R149"/>
    <mergeCell ref="R155:R156"/>
    <mergeCell ref="Q150:Q151"/>
    <mergeCell ref="Q130:Q131"/>
    <mergeCell ref="R159:R160"/>
    <mergeCell ref="R161:R162"/>
    <mergeCell ref="R150:R151"/>
    <mergeCell ref="C97:C98"/>
    <mergeCell ref="N159:N160"/>
    <mergeCell ref="N152:N153"/>
    <mergeCell ref="N150:N151"/>
    <mergeCell ref="M157:M158"/>
    <mergeCell ref="N157:N158"/>
    <mergeCell ref="C107:C108"/>
    <mergeCell ref="D102:D103"/>
    <mergeCell ref="M148:M149"/>
    <mergeCell ref="H97:H98"/>
    <mergeCell ref="H83:H84"/>
    <mergeCell ref="C90:C91"/>
    <mergeCell ref="D107:D108"/>
    <mergeCell ref="D74:D75"/>
    <mergeCell ref="D87:D88"/>
    <mergeCell ref="D78:D79"/>
    <mergeCell ref="C92:C93"/>
    <mergeCell ref="D92:D93"/>
    <mergeCell ref="C94:C95"/>
    <mergeCell ref="D94:D95"/>
    <mergeCell ref="E94:E95"/>
    <mergeCell ref="F94:F95"/>
    <mergeCell ref="G94:G95"/>
    <mergeCell ref="H94:H95"/>
    <mergeCell ref="C87:C88"/>
    <mergeCell ref="L126:L128"/>
    <mergeCell ref="D90:D91"/>
    <mergeCell ref="F104:F105"/>
    <mergeCell ref="E104:E105"/>
    <mergeCell ref="E107:E108"/>
    <mergeCell ref="F109:F110"/>
    <mergeCell ref="I94:I95"/>
    <mergeCell ref="E92:E93"/>
    <mergeCell ref="I92:I93"/>
    <mergeCell ref="C81:C82"/>
    <mergeCell ref="D81:D82"/>
    <mergeCell ref="D85:D86"/>
    <mergeCell ref="E85:E86"/>
    <mergeCell ref="C85:C86"/>
    <mergeCell ref="E83:E84"/>
    <mergeCell ref="C83:C84"/>
    <mergeCell ref="D83:D84"/>
    <mergeCell ref="E81:E82"/>
    <mergeCell ref="C72:C73"/>
    <mergeCell ref="E78:E79"/>
    <mergeCell ref="D72:D73"/>
    <mergeCell ref="C76:C77"/>
    <mergeCell ref="D76:D77"/>
    <mergeCell ref="E76:E77"/>
    <mergeCell ref="C74:C75"/>
    <mergeCell ref="E74:E75"/>
    <mergeCell ref="C78:C79"/>
    <mergeCell ref="E72:E73"/>
    <mergeCell ref="E90:E91"/>
    <mergeCell ref="F90:F91"/>
    <mergeCell ref="I81:I82"/>
    <mergeCell ref="H85:H86"/>
    <mergeCell ref="I85:I86"/>
    <mergeCell ref="H81:H82"/>
    <mergeCell ref="I90:I91"/>
    <mergeCell ref="E87:E88"/>
    <mergeCell ref="G90:G91"/>
    <mergeCell ref="I83:I84"/>
    <mergeCell ref="R126:R127"/>
    <mergeCell ref="O126:Q126"/>
    <mergeCell ref="O127:Q127"/>
    <mergeCell ref="F78:F79"/>
    <mergeCell ref="H87:H88"/>
    <mergeCell ref="F92:F93"/>
    <mergeCell ref="H92:H93"/>
    <mergeCell ref="G92:G93"/>
    <mergeCell ref="I87:I88"/>
    <mergeCell ref="H90:H91"/>
    <mergeCell ref="H78:H79"/>
    <mergeCell ref="I78:I79"/>
    <mergeCell ref="H76:H77"/>
    <mergeCell ref="H72:H73"/>
    <mergeCell ref="H74:H75"/>
    <mergeCell ref="I72:I73"/>
    <mergeCell ref="I76:I77"/>
    <mergeCell ref="I74:I75"/>
    <mergeCell ref="A1:J1"/>
    <mergeCell ref="B2:I2"/>
    <mergeCell ref="D50:F51"/>
    <mergeCell ref="C54:C56"/>
    <mergeCell ref="D52:F53"/>
    <mergeCell ref="B50:B53"/>
    <mergeCell ref="H54:H56"/>
    <mergeCell ref="B54:B56"/>
    <mergeCell ref="G54:G56"/>
    <mergeCell ref="A47:J47"/>
    <mergeCell ref="F72:F73"/>
    <mergeCell ref="G72:G73"/>
    <mergeCell ref="F107:F108"/>
    <mergeCell ref="G78:G79"/>
    <mergeCell ref="F76:F77"/>
    <mergeCell ref="G76:G77"/>
    <mergeCell ref="F74:F75"/>
    <mergeCell ref="G74:G75"/>
    <mergeCell ref="G97:G98"/>
    <mergeCell ref="G104:G105"/>
    <mergeCell ref="F102:F103"/>
    <mergeCell ref="G99:G100"/>
    <mergeCell ref="P164:P165"/>
    <mergeCell ref="P159:P160"/>
    <mergeCell ref="P161:P162"/>
    <mergeCell ref="P150:P151"/>
    <mergeCell ref="O150:O151"/>
    <mergeCell ref="P148:P149"/>
    <mergeCell ref="O148:O149"/>
    <mergeCell ref="O128:O129"/>
    <mergeCell ref="R152:R153"/>
    <mergeCell ref="Q155:Q156"/>
    <mergeCell ref="P152:P153"/>
    <mergeCell ref="R157:R158"/>
    <mergeCell ref="Q157:Q158"/>
    <mergeCell ref="O171:O172"/>
    <mergeCell ref="N164:N165"/>
    <mergeCell ref="P128:P129"/>
    <mergeCell ref="P130:P131"/>
    <mergeCell ref="P157:P158"/>
    <mergeCell ref="N155:N156"/>
    <mergeCell ref="O157:O158"/>
    <mergeCell ref="P155:P156"/>
    <mergeCell ref="O155:O156"/>
    <mergeCell ref="N168:N169"/>
    <mergeCell ref="O161:O162"/>
    <mergeCell ref="O164:O165"/>
    <mergeCell ref="G107:G108"/>
    <mergeCell ref="N148:N149"/>
    <mergeCell ref="H107:H108"/>
    <mergeCell ref="N128:N131"/>
    <mergeCell ref="G109:G110"/>
    <mergeCell ref="H109:H110"/>
    <mergeCell ref="O130:O131"/>
    <mergeCell ref="G112:G113"/>
    <mergeCell ref="N173:N174"/>
    <mergeCell ref="M159:M160"/>
    <mergeCell ref="M161:M162"/>
    <mergeCell ref="M164:M165"/>
    <mergeCell ref="N161:N162"/>
    <mergeCell ref="M171:M172"/>
    <mergeCell ref="N171:N172"/>
    <mergeCell ref="M168:M169"/>
    <mergeCell ref="R168:R169"/>
    <mergeCell ref="Q183:Q184"/>
    <mergeCell ref="R183:R184"/>
    <mergeCell ref="M183:M184"/>
    <mergeCell ref="N183:N184"/>
    <mergeCell ref="O183:O184"/>
    <mergeCell ref="P183:P184"/>
    <mergeCell ref="O173:O174"/>
    <mergeCell ref="O176:O177"/>
    <mergeCell ref="P171:P172"/>
    <mergeCell ref="P181:P182"/>
    <mergeCell ref="Q173:Q174"/>
    <mergeCell ref="R173:R174"/>
    <mergeCell ref="P166:P167"/>
    <mergeCell ref="Q166:Q167"/>
    <mergeCell ref="Q168:Q169"/>
    <mergeCell ref="P173:P174"/>
    <mergeCell ref="R171:R172"/>
    <mergeCell ref="Q171:Q172"/>
    <mergeCell ref="R166:R167"/>
    <mergeCell ref="C114:C115"/>
    <mergeCell ref="D114:D115"/>
    <mergeCell ref="E114:E115"/>
    <mergeCell ref="F114:F115"/>
    <mergeCell ref="G114:G115"/>
    <mergeCell ref="H114:H115"/>
    <mergeCell ref="I114:I115"/>
    <mergeCell ref="M188:M189"/>
    <mergeCell ref="G117:G118"/>
    <mergeCell ref="G119:G120"/>
    <mergeCell ref="H119:H120"/>
    <mergeCell ref="I119:I120"/>
    <mergeCell ref="R188:R189"/>
    <mergeCell ref="N188:N189"/>
    <mergeCell ref="O188:O189"/>
    <mergeCell ref="P188:P189"/>
    <mergeCell ref="Q188:Q189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">
      <selection activeCell="M5" sqref="M5"/>
    </sheetView>
  </sheetViews>
  <sheetFormatPr defaultColWidth="9.00390625" defaultRowHeight="33" customHeight="1"/>
  <cols>
    <col min="1" max="1" width="2.625" style="3" customWidth="1"/>
    <col min="2" max="11" width="8.75390625" style="3" customWidth="1"/>
    <col min="12" max="12" width="2.625" style="3" customWidth="1"/>
    <col min="13" max="13" width="9.25390625" style="3" bestFit="1" customWidth="1"/>
    <col min="14" max="14" width="10.875" style="3" bestFit="1" customWidth="1"/>
    <col min="15" max="15" width="10.875" style="3" customWidth="1"/>
    <col min="16" max="16" width="11.375" style="3" customWidth="1"/>
    <col min="17" max="17" width="9.00390625" style="3" customWidth="1"/>
    <col min="18" max="18" width="10.75390625" style="3" customWidth="1"/>
    <col min="19" max="19" width="9.00390625" style="3" customWidth="1"/>
    <col min="20" max="20" width="11.00390625" style="3" bestFit="1" customWidth="1"/>
    <col min="21" max="16384" width="9.00390625" style="3" customWidth="1"/>
  </cols>
  <sheetData>
    <row r="1" spans="1:12" ht="49.5" customHeight="1">
      <c r="A1" s="869" t="s">
        <v>1082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</row>
    <row r="2" spans="2:16" ht="117" customHeight="1">
      <c r="B2" s="933" t="s">
        <v>1213</v>
      </c>
      <c r="C2" s="933"/>
      <c r="D2" s="933"/>
      <c r="E2" s="933"/>
      <c r="F2" s="933"/>
      <c r="G2" s="933"/>
      <c r="H2" s="933"/>
      <c r="I2" s="933"/>
      <c r="J2" s="933"/>
      <c r="K2" s="933"/>
      <c r="L2" s="287"/>
      <c r="M2" s="288"/>
      <c r="N2" s="117"/>
      <c r="O2" s="117"/>
      <c r="P2" s="117"/>
    </row>
    <row r="3" spans="2:21" ht="24.75" customHeight="1" hidden="1"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287"/>
      <c r="M3" s="132"/>
      <c r="N3" s="132"/>
      <c r="O3" s="132"/>
      <c r="P3" s="18" t="s">
        <v>1083</v>
      </c>
      <c r="Q3" s="132">
        <v>3785008</v>
      </c>
      <c r="R3" s="282" t="s">
        <v>1084</v>
      </c>
      <c r="S3" s="282" t="s">
        <v>1085</v>
      </c>
      <c r="T3" s="289"/>
      <c r="U3" s="132"/>
    </row>
    <row r="4" spans="2:20" ht="19.5" customHeight="1">
      <c r="B4" s="143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6"/>
      <c r="N4" s="6"/>
      <c r="O4" s="6"/>
      <c r="T4" s="290"/>
    </row>
    <row r="5" spans="2:20" ht="19.5" customHeight="1"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6"/>
      <c r="N5" s="6"/>
      <c r="O5" s="6"/>
      <c r="T5" s="291"/>
    </row>
    <row r="6" spans="13:22" s="208" customFormat="1" ht="19.5" customHeight="1">
      <c r="M6" s="292"/>
      <c r="N6" s="292"/>
      <c r="O6" s="292"/>
      <c r="T6" s="291"/>
      <c r="U6" s="3"/>
      <c r="V6" s="3"/>
    </row>
    <row r="7" spans="13:22" s="208" customFormat="1" ht="19.5" customHeight="1">
      <c r="M7" s="292"/>
      <c r="N7" s="292"/>
      <c r="O7" s="292"/>
      <c r="P7" s="131"/>
      <c r="Q7" s="292"/>
      <c r="T7" s="291"/>
      <c r="U7" s="3"/>
      <c r="V7" s="3"/>
    </row>
    <row r="8" spans="13:20" ht="19.5" customHeight="1">
      <c r="M8" s="6"/>
      <c r="N8" s="6"/>
      <c r="O8" s="6"/>
      <c r="T8" s="290"/>
    </row>
    <row r="9" spans="13:20" ht="19.5" customHeight="1">
      <c r="M9" s="6"/>
      <c r="N9" s="6"/>
      <c r="O9" s="6"/>
      <c r="T9" s="291"/>
    </row>
    <row r="10" spans="13:21" ht="24.75" customHeight="1" hidden="1">
      <c r="M10" s="6"/>
      <c r="N10" s="6"/>
      <c r="O10" s="6"/>
      <c r="T10" s="6"/>
      <c r="U10" s="6"/>
    </row>
    <row r="11" spans="13:21" ht="24.75" customHeight="1" hidden="1">
      <c r="M11" s="6"/>
      <c r="N11" s="6"/>
      <c r="O11" s="6"/>
      <c r="T11" s="6"/>
      <c r="U11" s="6"/>
    </row>
    <row r="12" spans="13:21" ht="24.75" customHeight="1" hidden="1">
      <c r="M12" s="6"/>
      <c r="N12" s="6"/>
      <c r="O12" s="6"/>
      <c r="T12" s="6"/>
      <c r="U12" s="6"/>
    </row>
    <row r="13" spans="13:21" ht="24.75" customHeight="1" hidden="1">
      <c r="M13" s="6"/>
      <c r="N13" s="6"/>
      <c r="O13" s="6"/>
      <c r="T13" s="6"/>
      <c r="U13" s="6"/>
    </row>
    <row r="14" spans="6:21" ht="19.5" customHeight="1">
      <c r="F14" s="293"/>
      <c r="M14" s="82"/>
      <c r="N14" s="82"/>
      <c r="O14" s="82"/>
      <c r="T14" s="291"/>
      <c r="U14" s="82"/>
    </row>
    <row r="15" spans="13:21" ht="24.75" customHeight="1" hidden="1">
      <c r="M15" s="6"/>
      <c r="N15" s="6"/>
      <c r="O15" s="6"/>
      <c r="R15" s="6"/>
      <c r="S15" s="6"/>
      <c r="T15" s="211"/>
      <c r="U15" s="6"/>
    </row>
    <row r="16" spans="13:21" ht="24.75" customHeight="1" hidden="1">
      <c r="M16" s="6"/>
      <c r="N16" s="6"/>
      <c r="O16" s="6"/>
      <c r="R16" s="6"/>
      <c r="S16" s="6"/>
      <c r="T16" s="211"/>
      <c r="U16" s="6"/>
    </row>
    <row r="17" spans="13:21" ht="24.75" customHeight="1" hidden="1">
      <c r="M17" s="6"/>
      <c r="N17" s="6"/>
      <c r="O17" s="6"/>
      <c r="R17" s="6"/>
      <c r="S17" s="6"/>
      <c r="T17" s="211"/>
      <c r="U17" s="6"/>
    </row>
    <row r="18" spans="13:21" ht="24.75" customHeight="1" hidden="1">
      <c r="M18" s="6"/>
      <c r="N18" s="6"/>
      <c r="O18" s="6"/>
      <c r="R18" s="6"/>
      <c r="S18" s="6"/>
      <c r="T18" s="211"/>
      <c r="U18" s="6"/>
    </row>
    <row r="19" spans="13:21" ht="19.5" customHeight="1">
      <c r="M19" s="6"/>
      <c r="N19" s="6"/>
      <c r="O19" s="6"/>
      <c r="S19" s="294"/>
      <c r="U19" s="6"/>
    </row>
    <row r="20" spans="13:21" ht="24.75" customHeight="1" hidden="1">
      <c r="M20" s="6"/>
      <c r="N20" s="6"/>
      <c r="O20" s="6"/>
      <c r="R20" s="6"/>
      <c r="S20" s="6"/>
      <c r="T20" s="211"/>
      <c r="U20" s="6"/>
    </row>
    <row r="21" spans="13:21" ht="24.75" customHeight="1" hidden="1">
      <c r="M21" s="6"/>
      <c r="N21" s="6"/>
      <c r="O21" s="6"/>
      <c r="R21" s="6"/>
      <c r="S21" s="6"/>
      <c r="T21" s="211"/>
      <c r="U21" s="6"/>
    </row>
    <row r="22" spans="13:21" ht="24.75" customHeight="1" hidden="1">
      <c r="M22" s="6"/>
      <c r="N22" s="6"/>
      <c r="O22" s="6"/>
      <c r="R22" s="6"/>
      <c r="S22" s="6"/>
      <c r="T22" s="211"/>
      <c r="U22" s="6"/>
    </row>
    <row r="23" spans="13:21" ht="24.75" customHeight="1" hidden="1">
      <c r="M23" s="6"/>
      <c r="N23" s="6"/>
      <c r="O23" s="6"/>
      <c r="R23" s="6"/>
      <c r="S23" s="6"/>
      <c r="T23" s="211"/>
      <c r="U23" s="6"/>
    </row>
    <row r="24" spans="13:21" ht="19.5" customHeight="1">
      <c r="M24" s="6"/>
      <c r="N24" s="6"/>
      <c r="O24" s="6"/>
      <c r="U24" s="6"/>
    </row>
    <row r="25" spans="13:21" ht="24.75" customHeight="1" hidden="1">
      <c r="M25" s="6"/>
      <c r="N25" s="6"/>
      <c r="O25" s="6"/>
      <c r="U25" s="6"/>
    </row>
    <row r="26" spans="13:21" ht="24.75" customHeight="1" hidden="1">
      <c r="M26" s="6"/>
      <c r="N26" s="6"/>
      <c r="O26" s="6"/>
      <c r="U26" s="6"/>
    </row>
    <row r="27" spans="13:21" ht="24.75" customHeight="1" hidden="1">
      <c r="M27" s="6"/>
      <c r="N27" s="6"/>
      <c r="O27" s="6"/>
      <c r="U27" s="6"/>
    </row>
    <row r="28" spans="13:21" ht="24.75" customHeight="1" hidden="1">
      <c r="M28" s="6"/>
      <c r="N28" s="6"/>
      <c r="O28" s="6"/>
      <c r="U28" s="6"/>
    </row>
    <row r="29" spans="13:21" ht="19.5" customHeight="1">
      <c r="M29" s="6"/>
      <c r="N29" s="6"/>
      <c r="O29" s="6"/>
      <c r="U29" s="6"/>
    </row>
    <row r="30" spans="13:21" ht="19.5" customHeight="1">
      <c r="M30" s="6"/>
      <c r="N30" s="6"/>
      <c r="O30" s="6"/>
      <c r="U30" s="6"/>
    </row>
    <row r="31" spans="13:21" ht="24.75" customHeight="1" hidden="1">
      <c r="M31" s="6"/>
      <c r="N31" s="6"/>
      <c r="O31" s="6"/>
      <c r="P31" s="7"/>
      <c r="Q31" s="6"/>
      <c r="U31" s="6"/>
    </row>
    <row r="32" spans="13:21" ht="24.75" customHeight="1" hidden="1">
      <c r="M32" s="6"/>
      <c r="N32" s="6"/>
      <c r="O32" s="6"/>
      <c r="P32" s="7"/>
      <c r="Q32" s="6"/>
      <c r="U32" s="6"/>
    </row>
    <row r="33" spans="13:21" ht="24.75" customHeight="1" hidden="1">
      <c r="M33" s="6"/>
      <c r="N33" s="6"/>
      <c r="O33" s="6"/>
      <c r="P33" s="7"/>
      <c r="Q33" s="6"/>
      <c r="U33" s="6"/>
    </row>
    <row r="34" spans="13:21" ht="24.75" customHeight="1" hidden="1">
      <c r="M34" s="6"/>
      <c r="N34" s="6"/>
      <c r="O34" s="6"/>
      <c r="P34" s="7"/>
      <c r="Q34" s="6"/>
      <c r="U34" s="6"/>
    </row>
    <row r="35" spans="13:21" ht="19.5" customHeight="1">
      <c r="M35" s="6"/>
      <c r="N35" s="6"/>
      <c r="O35" s="6"/>
      <c r="P35" s="7"/>
      <c r="Q35" s="6"/>
      <c r="U35" s="6"/>
    </row>
    <row r="36" spans="13:21" ht="24.75" customHeight="1" hidden="1">
      <c r="M36" s="6"/>
      <c r="N36" s="6"/>
      <c r="O36" s="6"/>
      <c r="P36" s="7"/>
      <c r="Q36" s="6"/>
      <c r="U36" s="6"/>
    </row>
    <row r="37" spans="13:21" ht="24.75" customHeight="1" hidden="1">
      <c r="M37" s="6"/>
      <c r="N37" s="6"/>
      <c r="O37" s="6"/>
      <c r="P37" s="7"/>
      <c r="Q37" s="6"/>
      <c r="U37" s="6"/>
    </row>
    <row r="38" spans="13:22" ht="19.5" customHeight="1">
      <c r="M38" s="6"/>
      <c r="N38" s="6"/>
      <c r="O38" s="6"/>
      <c r="P38" s="7"/>
      <c r="U38" s="132"/>
      <c r="V38" s="295"/>
    </row>
    <row r="39" spans="13:22" ht="19.5" customHeight="1">
      <c r="M39" s="6"/>
      <c r="N39" s="6"/>
      <c r="O39" s="6"/>
      <c r="P39" s="7"/>
      <c r="U39" s="30"/>
      <c r="V39" s="295"/>
    </row>
    <row r="40" spans="13:22" ht="19.5" customHeight="1">
      <c r="M40" s="6"/>
      <c r="N40" s="6"/>
      <c r="O40" s="6"/>
      <c r="P40" s="7"/>
      <c r="U40" s="30"/>
      <c r="V40" s="295"/>
    </row>
    <row r="41" spans="13:22" ht="19.5" customHeight="1">
      <c r="M41" s="6"/>
      <c r="N41" s="6"/>
      <c r="O41" s="6"/>
      <c r="P41" s="7"/>
      <c r="Q41" s="130"/>
      <c r="R41" s="132"/>
      <c r="U41" s="6"/>
      <c r="V41" s="295"/>
    </row>
    <row r="42" spans="13:22" ht="19.5" customHeight="1">
      <c r="M42" s="6"/>
      <c r="N42" s="6"/>
      <c r="O42" s="6"/>
      <c r="P42" s="7"/>
      <c r="Q42" s="131" t="s">
        <v>1086</v>
      </c>
      <c r="R42" s="296">
        <v>2865120</v>
      </c>
      <c r="U42" s="6"/>
      <c r="V42" s="295"/>
    </row>
    <row r="43" spans="13:22" ht="19.5" customHeight="1">
      <c r="M43" s="6"/>
      <c r="N43" s="6"/>
      <c r="O43" s="6"/>
      <c r="P43" s="7"/>
      <c r="Q43" s="51" t="s">
        <v>1087</v>
      </c>
      <c r="R43" s="132">
        <v>2968633</v>
      </c>
      <c r="U43" s="6"/>
      <c r="V43" s="295"/>
    </row>
    <row r="44" spans="13:22" ht="19.5" customHeight="1">
      <c r="M44" s="6"/>
      <c r="N44" s="6"/>
      <c r="O44" s="6"/>
      <c r="P44" s="7"/>
      <c r="Q44" s="51" t="s">
        <v>1088</v>
      </c>
      <c r="R44" s="132">
        <v>3363166</v>
      </c>
      <c r="U44" s="6"/>
      <c r="V44" s="295"/>
    </row>
    <row r="45" spans="13:22" ht="19.5" customHeight="1">
      <c r="M45" s="6"/>
      <c r="N45" s="6"/>
      <c r="O45" s="6"/>
      <c r="P45" s="7"/>
      <c r="Q45" s="7" t="s">
        <v>1089</v>
      </c>
      <c r="R45" s="132">
        <v>3784325</v>
      </c>
      <c r="U45" s="6"/>
      <c r="V45" s="295"/>
    </row>
    <row r="46" spans="13:22" ht="19.5" customHeight="1">
      <c r="M46" s="6"/>
      <c r="N46" s="6"/>
      <c r="O46" s="6"/>
      <c r="P46" s="7"/>
      <c r="Q46" s="7" t="s">
        <v>1090</v>
      </c>
      <c r="R46" s="132">
        <v>3757540</v>
      </c>
      <c r="U46" s="6"/>
      <c r="V46" s="295"/>
    </row>
    <row r="47" spans="13:22" ht="19.5" customHeight="1">
      <c r="M47" s="6"/>
      <c r="N47" s="6"/>
      <c r="O47" s="6"/>
      <c r="P47" s="7"/>
      <c r="Q47" s="7" t="s">
        <v>1091</v>
      </c>
      <c r="R47" s="132">
        <v>4121463</v>
      </c>
      <c r="U47" s="6"/>
      <c r="V47" s="295"/>
    </row>
    <row r="48" spans="13:22" ht="19.5" customHeight="1">
      <c r="M48" s="6"/>
      <c r="N48" s="6"/>
      <c r="O48" s="6"/>
      <c r="P48" s="7"/>
      <c r="Q48" s="7" t="s">
        <v>1092</v>
      </c>
      <c r="R48" s="132">
        <v>3929761</v>
      </c>
      <c r="U48" s="6"/>
      <c r="V48" s="295"/>
    </row>
    <row r="49" spans="13:22" ht="19.5" customHeight="1">
      <c r="M49" s="6"/>
      <c r="N49" s="6"/>
      <c r="O49" s="6"/>
      <c r="P49" s="7"/>
      <c r="Q49" s="7" t="s">
        <v>1094</v>
      </c>
      <c r="R49" s="132">
        <v>3515526</v>
      </c>
      <c r="U49" s="6"/>
      <c r="V49" s="295"/>
    </row>
    <row r="50" spans="13:22" ht="19.5" customHeight="1">
      <c r="M50" s="6"/>
      <c r="N50" s="6"/>
      <c r="O50" s="6"/>
      <c r="P50" s="7"/>
      <c r="Q50" s="7" t="s">
        <v>938</v>
      </c>
      <c r="R50" s="49">
        <v>3827407</v>
      </c>
      <c r="U50" s="6"/>
      <c r="V50" s="295"/>
    </row>
    <row r="51" spans="13:22" ht="19.5" customHeight="1">
      <c r="M51" s="6"/>
      <c r="N51" s="6"/>
      <c r="O51" s="6"/>
      <c r="P51" s="7"/>
      <c r="Q51" s="7" t="s">
        <v>231</v>
      </c>
      <c r="R51" s="49">
        <v>4403401</v>
      </c>
      <c r="U51" s="6"/>
      <c r="V51" s="295"/>
    </row>
    <row r="52" spans="13:22" ht="19.5" customHeight="1">
      <c r="M52" s="6"/>
      <c r="N52" s="6"/>
      <c r="O52" s="6"/>
      <c r="P52" s="7"/>
      <c r="U52" s="6"/>
      <c r="V52" s="295"/>
    </row>
    <row r="53" spans="13:22" ht="19.5" customHeight="1">
      <c r="M53" s="99"/>
      <c r="N53" s="99"/>
      <c r="O53" s="99"/>
      <c r="U53" s="292"/>
      <c r="V53" s="295"/>
    </row>
    <row r="54" spans="13:22" ht="19.5" customHeight="1">
      <c r="M54" s="99"/>
      <c r="N54" s="99"/>
      <c r="O54" s="99"/>
      <c r="P54" s="99"/>
      <c r="U54" s="6"/>
      <c r="V54" s="295"/>
    </row>
    <row r="55" spans="13:22" ht="19.5" customHeight="1">
      <c r="M55" s="99"/>
      <c r="N55" s="99"/>
      <c r="O55" s="99"/>
      <c r="P55" s="99"/>
      <c r="T55" s="297"/>
      <c r="U55" s="6"/>
      <c r="V55" s="295"/>
    </row>
    <row r="56" spans="13:16" ht="19.5" customHeight="1">
      <c r="M56" s="99"/>
      <c r="N56" s="99"/>
      <c r="O56" s="99"/>
      <c r="P56" s="99"/>
    </row>
    <row r="57" spans="17:24" ht="19.5" customHeight="1">
      <c r="Q57" s="284" t="s">
        <v>1095</v>
      </c>
      <c r="R57" s="285" t="s">
        <v>1096</v>
      </c>
      <c r="S57" s="285" t="s">
        <v>1097</v>
      </c>
      <c r="T57" s="283" t="s">
        <v>1098</v>
      </c>
      <c r="U57" s="283" t="s">
        <v>1099</v>
      </c>
      <c r="V57" s="283" t="s">
        <v>228</v>
      </c>
      <c r="W57" s="286" t="s">
        <v>1100</v>
      </c>
      <c r="X57" s="283" t="s">
        <v>1101</v>
      </c>
    </row>
    <row r="58" spans="1:24" ht="19.5" customHeight="1">
      <c r="A58" s="899" t="s">
        <v>1131</v>
      </c>
      <c r="B58" s="899"/>
      <c r="C58" s="899"/>
      <c r="D58" s="899"/>
      <c r="E58" s="899"/>
      <c r="F58" s="899"/>
      <c r="G58" s="899"/>
      <c r="H58" s="899"/>
      <c r="I58" s="899"/>
      <c r="J58" s="899"/>
      <c r="K58" s="899"/>
      <c r="L58" s="899"/>
      <c r="P58" s="301">
        <f>C109</f>
        <v>1274000</v>
      </c>
      <c r="Q58" s="301">
        <f aca="true" t="shared" si="0" ref="Q58:X58">D109</f>
        <v>28994</v>
      </c>
      <c r="R58" s="301">
        <f t="shared" si="0"/>
        <v>4711</v>
      </c>
      <c r="S58" s="301">
        <f t="shared" si="0"/>
        <v>48840</v>
      </c>
      <c r="T58" s="301">
        <f t="shared" si="0"/>
        <v>28965</v>
      </c>
      <c r="U58" s="301">
        <f t="shared" si="0"/>
        <v>607983</v>
      </c>
      <c r="V58" s="301">
        <f t="shared" si="0"/>
        <v>540169</v>
      </c>
      <c r="W58" s="301">
        <f t="shared" si="0"/>
        <v>14346</v>
      </c>
      <c r="X58" s="301">
        <f t="shared" si="0"/>
        <v>-8</v>
      </c>
    </row>
    <row r="59" spans="4:24" ht="24.75" customHeight="1">
      <c r="D59" s="313"/>
      <c r="F59" s="313" t="s">
        <v>1150</v>
      </c>
      <c r="K59" s="312" t="s">
        <v>1116</v>
      </c>
      <c r="Q59" s="298">
        <f>Q58/$P$58</f>
        <v>0.02275824175824176</v>
      </c>
      <c r="R59" s="298">
        <f aca="true" t="shared" si="1" ref="R59:X59">R58/$P$58</f>
        <v>0.003697802197802198</v>
      </c>
      <c r="S59" s="298">
        <f t="shared" si="1"/>
        <v>0.03833594976452119</v>
      </c>
      <c r="T59" s="298">
        <f t="shared" si="1"/>
        <v>0.022735478806907378</v>
      </c>
      <c r="U59" s="298">
        <f t="shared" si="1"/>
        <v>0.477223704866562</v>
      </c>
      <c r="V59" s="298">
        <f t="shared" si="1"/>
        <v>0.4239945054945055</v>
      </c>
      <c r="W59" s="298">
        <f t="shared" si="1"/>
        <v>0.011260596546310833</v>
      </c>
      <c r="X59" s="298">
        <f t="shared" si="1"/>
        <v>-6.279434850863423E-06</v>
      </c>
    </row>
    <row r="60" spans="2:11" ht="24.75" customHeight="1" thickBot="1">
      <c r="B60" s="309"/>
      <c r="D60" s="314"/>
      <c r="F60" s="314" t="s">
        <v>1102</v>
      </c>
      <c r="G60" s="310"/>
      <c r="H60" s="310"/>
      <c r="I60" s="310"/>
      <c r="J60" s="310"/>
      <c r="K60" s="311" t="s">
        <v>1132</v>
      </c>
    </row>
    <row r="61" spans="2:11" ht="33" customHeight="1">
      <c r="B61" s="308" t="s">
        <v>8</v>
      </c>
      <c r="C61" s="276" t="s">
        <v>1133</v>
      </c>
      <c r="D61" s="212" t="s">
        <v>1134</v>
      </c>
      <c r="E61" s="212" t="s">
        <v>1135</v>
      </c>
      <c r="F61" s="212" t="s">
        <v>1136</v>
      </c>
      <c r="G61" s="316" t="s">
        <v>221</v>
      </c>
      <c r="H61" s="212" t="s">
        <v>1137</v>
      </c>
      <c r="I61" s="212" t="s">
        <v>1138</v>
      </c>
      <c r="J61" s="212" t="s">
        <v>1139</v>
      </c>
      <c r="K61" s="315" t="s">
        <v>1140</v>
      </c>
    </row>
    <row r="62" spans="2:11" ht="36" customHeight="1" thickBot="1">
      <c r="B62" s="249" t="s">
        <v>9</v>
      </c>
      <c r="C62" s="253" t="s">
        <v>1141</v>
      </c>
      <c r="D62" s="151" t="s">
        <v>1142</v>
      </c>
      <c r="E62" s="151" t="s">
        <v>1143</v>
      </c>
      <c r="F62" s="151" t="s">
        <v>1144</v>
      </c>
      <c r="G62" s="317" t="s">
        <v>1145</v>
      </c>
      <c r="H62" s="151" t="s">
        <v>1146</v>
      </c>
      <c r="I62" s="151" t="s">
        <v>1147</v>
      </c>
      <c r="J62" s="151" t="s">
        <v>1148</v>
      </c>
      <c r="K62" s="249" t="s">
        <v>1149</v>
      </c>
    </row>
    <row r="63" spans="2:11" ht="33" customHeight="1" hidden="1">
      <c r="B63" s="17" t="s">
        <v>1103</v>
      </c>
      <c r="C63" s="220">
        <f>SUM(D63:K63)</f>
        <v>3945410</v>
      </c>
      <c r="D63" s="219">
        <v>81964</v>
      </c>
      <c r="E63" s="219">
        <v>15280</v>
      </c>
      <c r="F63" s="219">
        <v>236586</v>
      </c>
      <c r="G63" s="219">
        <v>569168</v>
      </c>
      <c r="H63" s="219">
        <v>386518</v>
      </c>
      <c r="I63" s="219">
        <v>1974006</v>
      </c>
      <c r="J63" s="219">
        <v>551916</v>
      </c>
      <c r="K63" s="219">
        <v>129972</v>
      </c>
    </row>
    <row r="64" spans="2:11" s="157" customFormat="1" ht="30" customHeight="1" hidden="1">
      <c r="B64" s="320" t="s">
        <v>1171</v>
      </c>
      <c r="C64" s="322">
        <f>SUM(D64:K64)</f>
        <v>3519816</v>
      </c>
      <c r="D64" s="323">
        <v>81858</v>
      </c>
      <c r="E64" s="323">
        <v>13464</v>
      </c>
      <c r="F64" s="323">
        <v>211904</v>
      </c>
      <c r="G64" s="323">
        <v>791470</v>
      </c>
      <c r="H64" s="323">
        <v>447809</v>
      </c>
      <c r="I64" s="323">
        <v>1225729</v>
      </c>
      <c r="J64" s="323">
        <v>740871</v>
      </c>
      <c r="K64" s="323">
        <v>6711</v>
      </c>
    </row>
    <row r="65" spans="2:11" s="157" customFormat="1" ht="30" customHeight="1">
      <c r="B65" s="318" t="s">
        <v>1173</v>
      </c>
      <c r="C65" s="322">
        <f>SUM(D65:K65)</f>
        <v>4342872</v>
      </c>
      <c r="D65" s="323">
        <v>119199</v>
      </c>
      <c r="E65" s="323">
        <v>21182</v>
      </c>
      <c r="F65" s="323">
        <v>200030</v>
      </c>
      <c r="G65" s="323">
        <v>836636</v>
      </c>
      <c r="H65" s="323">
        <v>857262</v>
      </c>
      <c r="I65" s="323">
        <v>1540408</v>
      </c>
      <c r="J65" s="323">
        <v>767790</v>
      </c>
      <c r="K65" s="323">
        <v>365</v>
      </c>
    </row>
    <row r="66" spans="2:11" s="157" customFormat="1" ht="30" customHeight="1">
      <c r="B66" s="320" t="s">
        <v>1151</v>
      </c>
      <c r="C66" s="322">
        <f>SUM(D66:K66)</f>
        <v>2865120</v>
      </c>
      <c r="D66" s="323">
        <v>70119</v>
      </c>
      <c r="E66" s="323">
        <v>16486</v>
      </c>
      <c r="F66" s="323">
        <v>104523</v>
      </c>
      <c r="G66" s="323">
        <v>802670</v>
      </c>
      <c r="H66" s="323">
        <v>469622</v>
      </c>
      <c r="I66" s="323">
        <v>653568</v>
      </c>
      <c r="J66" s="323">
        <v>747792</v>
      </c>
      <c r="K66" s="323">
        <v>340</v>
      </c>
    </row>
    <row r="67" spans="2:11" ht="33" customHeight="1" hidden="1">
      <c r="B67" s="321"/>
      <c r="C67" s="324"/>
      <c r="D67" s="325"/>
      <c r="E67" s="325"/>
      <c r="F67" s="325"/>
      <c r="G67" s="325"/>
      <c r="H67" s="325"/>
      <c r="I67" s="325"/>
      <c r="J67" s="325"/>
      <c r="K67" s="325"/>
    </row>
    <row r="68" spans="2:11" s="157" customFormat="1" ht="30" customHeight="1">
      <c r="B68" s="320" t="s">
        <v>1152</v>
      </c>
      <c r="C68" s="322">
        <f>SUM(D68:K68)</f>
        <v>2968633</v>
      </c>
      <c r="D68" s="323">
        <v>71835</v>
      </c>
      <c r="E68" s="323">
        <v>19105</v>
      </c>
      <c r="F68" s="323">
        <v>140495</v>
      </c>
      <c r="G68" s="323">
        <v>816101</v>
      </c>
      <c r="H68" s="323">
        <v>457528</v>
      </c>
      <c r="I68" s="323">
        <v>773474</v>
      </c>
      <c r="J68" s="323">
        <v>690038</v>
      </c>
      <c r="K68" s="323">
        <v>57</v>
      </c>
    </row>
    <row r="69" spans="2:11" s="157" customFormat="1" ht="30" customHeight="1">
      <c r="B69" s="320" t="s">
        <v>1153</v>
      </c>
      <c r="C69" s="322">
        <v>3363166</v>
      </c>
      <c r="D69" s="323">
        <f aca="true" t="shared" si="2" ref="D69:K69">D70+D71+D72+D73</f>
        <v>81612</v>
      </c>
      <c r="E69" s="323">
        <f t="shared" si="2"/>
        <v>19715</v>
      </c>
      <c r="F69" s="323">
        <f t="shared" si="2"/>
        <v>137676</v>
      </c>
      <c r="G69" s="323">
        <f t="shared" si="2"/>
        <v>845731</v>
      </c>
      <c r="H69" s="323">
        <f t="shared" si="2"/>
        <v>456549</v>
      </c>
      <c r="I69" s="323">
        <f t="shared" si="2"/>
        <v>1125802</v>
      </c>
      <c r="J69" s="323">
        <f t="shared" si="2"/>
        <v>696028</v>
      </c>
      <c r="K69" s="323">
        <f t="shared" si="2"/>
        <v>53</v>
      </c>
    </row>
    <row r="70" spans="2:11" ht="33" customHeight="1" hidden="1">
      <c r="B70" s="318" t="s">
        <v>1154</v>
      </c>
      <c r="C70" s="322">
        <f>SUM(D70:K70)</f>
        <v>300685</v>
      </c>
      <c r="D70" s="323">
        <v>17137</v>
      </c>
      <c r="E70" s="323">
        <v>4776</v>
      </c>
      <c r="F70" s="323">
        <v>24189</v>
      </c>
      <c r="G70" s="323">
        <v>57686</v>
      </c>
      <c r="H70" s="323">
        <v>8825</v>
      </c>
      <c r="I70" s="323">
        <v>183915</v>
      </c>
      <c r="J70" s="323">
        <v>4148</v>
      </c>
      <c r="K70" s="331">
        <v>9</v>
      </c>
    </row>
    <row r="71" spans="2:11" ht="33" customHeight="1" hidden="1">
      <c r="B71" s="318" t="s">
        <v>1155</v>
      </c>
      <c r="C71" s="322">
        <f>SUM(D71:K71)</f>
        <v>1677487</v>
      </c>
      <c r="D71" s="323">
        <v>21950</v>
      </c>
      <c r="E71" s="323">
        <v>4860</v>
      </c>
      <c r="F71" s="323">
        <v>46117</v>
      </c>
      <c r="G71" s="323">
        <v>728237</v>
      </c>
      <c r="H71" s="323">
        <v>5324</v>
      </c>
      <c r="I71" s="323">
        <v>211451</v>
      </c>
      <c r="J71" s="323">
        <v>659535</v>
      </c>
      <c r="K71" s="331">
        <v>13</v>
      </c>
    </row>
    <row r="72" spans="2:23" ht="33" customHeight="1" hidden="1">
      <c r="B72" s="318" t="s">
        <v>1156</v>
      </c>
      <c r="C72" s="322">
        <f>SUM(D72:K72)</f>
        <v>436122</v>
      </c>
      <c r="D72" s="323">
        <v>21764</v>
      </c>
      <c r="E72" s="323">
        <v>4986</v>
      </c>
      <c r="F72" s="323">
        <v>33211</v>
      </c>
      <c r="G72" s="323">
        <v>30930</v>
      </c>
      <c r="H72" s="323">
        <v>4280</v>
      </c>
      <c r="I72" s="323">
        <v>315505</v>
      </c>
      <c r="J72" s="323">
        <v>25417</v>
      </c>
      <c r="K72" s="331">
        <v>29</v>
      </c>
      <c r="W72" s="117"/>
    </row>
    <row r="73" spans="2:11" s="298" customFormat="1" ht="33" customHeight="1" hidden="1">
      <c r="B73" s="318" t="s">
        <v>1157</v>
      </c>
      <c r="C73" s="322">
        <f>SUM(D73:K73)</f>
        <v>948872</v>
      </c>
      <c r="D73" s="323">
        <v>20761</v>
      </c>
      <c r="E73" s="323">
        <v>5093</v>
      </c>
      <c r="F73" s="323">
        <v>34159</v>
      </c>
      <c r="G73" s="323">
        <v>28878</v>
      </c>
      <c r="H73" s="323">
        <v>438120</v>
      </c>
      <c r="I73" s="323">
        <v>414931</v>
      </c>
      <c r="J73" s="323">
        <v>6928</v>
      </c>
      <c r="K73" s="331">
        <v>2</v>
      </c>
    </row>
    <row r="74" spans="2:16" s="157" customFormat="1" ht="30" customHeight="1">
      <c r="B74" s="320" t="s">
        <v>1158</v>
      </c>
      <c r="C74" s="326">
        <v>3784325</v>
      </c>
      <c r="D74" s="327">
        <v>78876</v>
      </c>
      <c r="E74" s="327">
        <v>19455</v>
      </c>
      <c r="F74" s="327">
        <v>171389</v>
      </c>
      <c r="G74" s="327">
        <v>880670</v>
      </c>
      <c r="H74" s="327">
        <v>482371</v>
      </c>
      <c r="I74" s="327">
        <v>1450268</v>
      </c>
      <c r="J74" s="327">
        <v>701227</v>
      </c>
      <c r="K74" s="327">
        <v>69</v>
      </c>
      <c r="N74" s="7"/>
      <c r="O74" s="7"/>
      <c r="P74" s="132"/>
    </row>
    <row r="75" spans="2:16" ht="33" customHeight="1" hidden="1">
      <c r="B75" s="318" t="s">
        <v>1159</v>
      </c>
      <c r="C75" s="322">
        <f>SUM(D75:K75)</f>
        <v>604683</v>
      </c>
      <c r="D75" s="323">
        <v>21238</v>
      </c>
      <c r="E75" s="323">
        <v>4646</v>
      </c>
      <c r="F75" s="323">
        <v>36837</v>
      </c>
      <c r="G75" s="323">
        <v>66015</v>
      </c>
      <c r="H75" s="323">
        <v>11066</v>
      </c>
      <c r="I75" s="323">
        <v>460341</v>
      </c>
      <c r="J75" s="323">
        <v>4506</v>
      </c>
      <c r="K75" s="323">
        <v>34</v>
      </c>
      <c r="P75" s="99"/>
    </row>
    <row r="76" spans="2:16" ht="33" customHeight="1" hidden="1">
      <c r="B76" s="318" t="s">
        <v>1160</v>
      </c>
      <c r="C76" s="322">
        <f>SUM(D76:K76)</f>
        <v>1777582</v>
      </c>
      <c r="D76" s="323">
        <v>17226</v>
      </c>
      <c r="E76" s="323">
        <v>4861</v>
      </c>
      <c r="F76" s="323">
        <v>44747</v>
      </c>
      <c r="G76" s="323">
        <v>746919</v>
      </c>
      <c r="H76" s="323">
        <v>6395</v>
      </c>
      <c r="I76" s="323">
        <v>287421</v>
      </c>
      <c r="J76" s="323">
        <v>670012</v>
      </c>
      <c r="K76" s="323">
        <v>1</v>
      </c>
      <c r="N76" s="7"/>
      <c r="O76" s="7"/>
      <c r="P76" s="132"/>
    </row>
    <row r="77" spans="2:16" ht="33" customHeight="1" hidden="1">
      <c r="B77" s="318" t="s">
        <v>1161</v>
      </c>
      <c r="C77" s="322">
        <f>SUM(D77:K77)</f>
        <v>439613</v>
      </c>
      <c r="D77" s="323">
        <v>21427</v>
      </c>
      <c r="E77" s="323">
        <v>4939</v>
      </c>
      <c r="F77" s="323">
        <v>44337</v>
      </c>
      <c r="G77" s="323">
        <v>37019</v>
      </c>
      <c r="H77" s="323">
        <v>2892</v>
      </c>
      <c r="I77" s="323">
        <v>312918</v>
      </c>
      <c r="J77" s="323">
        <v>16046</v>
      </c>
      <c r="K77" s="323">
        <v>35</v>
      </c>
      <c r="N77" s="7"/>
      <c r="O77" s="7"/>
      <c r="P77" s="30"/>
    </row>
    <row r="78" spans="2:16" ht="33" customHeight="1" hidden="1">
      <c r="B78" s="318" t="s">
        <v>1162</v>
      </c>
      <c r="C78" s="322">
        <v>962447</v>
      </c>
      <c r="D78" s="323">
        <v>18985</v>
      </c>
      <c r="E78" s="323">
        <v>5009</v>
      </c>
      <c r="F78" s="323">
        <v>45468</v>
      </c>
      <c r="G78" s="323">
        <v>30717</v>
      </c>
      <c r="H78" s="323">
        <v>462018</v>
      </c>
      <c r="I78" s="323">
        <v>389588</v>
      </c>
      <c r="J78" s="323">
        <v>10663</v>
      </c>
      <c r="K78" s="323">
        <v>-1</v>
      </c>
      <c r="P78" s="99"/>
    </row>
    <row r="79" spans="2:16" s="157" customFormat="1" ht="30" customHeight="1">
      <c r="B79" s="112" t="s">
        <v>1163</v>
      </c>
      <c r="C79" s="322">
        <f aca="true" t="shared" si="3" ref="C79:K79">SUM(C80:C83)</f>
        <v>3757540</v>
      </c>
      <c r="D79" s="323">
        <f t="shared" si="3"/>
        <v>91608</v>
      </c>
      <c r="E79" s="323">
        <f t="shared" si="3"/>
        <v>20720</v>
      </c>
      <c r="F79" s="323">
        <f t="shared" si="3"/>
        <v>176832</v>
      </c>
      <c r="G79" s="323">
        <f t="shared" si="3"/>
        <v>909482</v>
      </c>
      <c r="H79" s="323">
        <f t="shared" si="3"/>
        <v>485769</v>
      </c>
      <c r="I79" s="323">
        <f t="shared" si="3"/>
        <v>1349235</v>
      </c>
      <c r="J79" s="323">
        <f t="shared" si="3"/>
        <v>723709</v>
      </c>
      <c r="K79" s="323">
        <f t="shared" si="3"/>
        <v>185</v>
      </c>
      <c r="P79" s="140"/>
    </row>
    <row r="80" spans="2:16" ht="33" customHeight="1" hidden="1">
      <c r="B80" s="258" t="s">
        <v>1159</v>
      </c>
      <c r="C80" s="322">
        <f>SUM(D80:K80)</f>
        <v>970178</v>
      </c>
      <c r="D80" s="323">
        <v>24808</v>
      </c>
      <c r="E80" s="323">
        <v>4775</v>
      </c>
      <c r="F80" s="323">
        <v>41537</v>
      </c>
      <c r="G80" s="323">
        <v>73932</v>
      </c>
      <c r="H80" s="323">
        <v>11881</v>
      </c>
      <c r="I80" s="323">
        <v>807562</v>
      </c>
      <c r="J80" s="323">
        <v>5640</v>
      </c>
      <c r="K80" s="323">
        <v>43</v>
      </c>
      <c r="N80" s="7"/>
      <c r="O80" s="7"/>
      <c r="P80" s="132"/>
    </row>
    <row r="81" spans="2:16" ht="33" customHeight="1" hidden="1">
      <c r="B81" s="258" t="s">
        <v>1160</v>
      </c>
      <c r="C81" s="322">
        <f>SUM(D81:K81)</f>
        <v>1665387</v>
      </c>
      <c r="D81" s="323">
        <v>20685</v>
      </c>
      <c r="E81" s="323">
        <v>6271</v>
      </c>
      <c r="F81" s="323">
        <v>50580</v>
      </c>
      <c r="G81" s="323">
        <v>777110</v>
      </c>
      <c r="H81" s="323">
        <v>6633</v>
      </c>
      <c r="I81" s="323">
        <v>108970</v>
      </c>
      <c r="J81" s="323">
        <v>695009</v>
      </c>
      <c r="K81" s="323">
        <v>129</v>
      </c>
      <c r="N81" s="7"/>
      <c r="O81" s="7"/>
      <c r="P81" s="132"/>
    </row>
    <row r="82" spans="2:16" ht="33" customHeight="1" hidden="1">
      <c r="B82" s="258" t="s">
        <v>1161</v>
      </c>
      <c r="C82" s="322">
        <f>SUM(D82:K82)</f>
        <v>344443</v>
      </c>
      <c r="D82" s="323">
        <v>24809</v>
      </c>
      <c r="E82" s="323">
        <v>4963</v>
      </c>
      <c r="F82" s="323">
        <v>40503</v>
      </c>
      <c r="G82" s="323">
        <v>29516</v>
      </c>
      <c r="H82" s="323">
        <v>2572</v>
      </c>
      <c r="I82" s="323">
        <v>223733</v>
      </c>
      <c r="J82" s="323">
        <v>18334</v>
      </c>
      <c r="K82" s="323">
        <v>13</v>
      </c>
      <c r="N82" s="7"/>
      <c r="O82" s="7"/>
      <c r="P82" s="132"/>
    </row>
    <row r="83" spans="2:16" ht="33" customHeight="1" hidden="1">
      <c r="B83" s="258" t="s">
        <v>1162</v>
      </c>
      <c r="C83" s="322">
        <f>SUM(D83:K83)</f>
        <v>777532</v>
      </c>
      <c r="D83" s="323">
        <v>21306</v>
      </c>
      <c r="E83" s="323">
        <v>4711</v>
      </c>
      <c r="F83" s="323">
        <v>44212</v>
      </c>
      <c r="G83" s="323">
        <v>28924</v>
      </c>
      <c r="H83" s="323">
        <v>464683</v>
      </c>
      <c r="I83" s="323">
        <v>208970</v>
      </c>
      <c r="J83" s="323">
        <v>4726</v>
      </c>
      <c r="K83" s="323">
        <v>0</v>
      </c>
      <c r="N83" s="7"/>
      <c r="O83" s="7"/>
      <c r="P83" s="132"/>
    </row>
    <row r="84" spans="2:16" s="157" customFormat="1" ht="30" customHeight="1">
      <c r="B84" s="112" t="s">
        <v>1164</v>
      </c>
      <c r="C84" s="322">
        <v>4121463</v>
      </c>
      <c r="D84" s="323">
        <f aca="true" t="shared" si="4" ref="D84:K84">SUM(D85:D88)</f>
        <v>89733</v>
      </c>
      <c r="E84" s="328">
        <f t="shared" si="4"/>
        <v>20378</v>
      </c>
      <c r="F84" s="328">
        <f t="shared" si="4"/>
        <v>190268</v>
      </c>
      <c r="G84" s="328">
        <v>928470</v>
      </c>
      <c r="H84" s="323">
        <f t="shared" si="4"/>
        <v>602832</v>
      </c>
      <c r="I84" s="328">
        <f t="shared" si="4"/>
        <v>1540670</v>
      </c>
      <c r="J84" s="328">
        <f t="shared" si="4"/>
        <v>748931</v>
      </c>
      <c r="K84" s="328">
        <f t="shared" si="4"/>
        <v>181</v>
      </c>
      <c r="P84" s="140"/>
    </row>
    <row r="85" spans="2:16" ht="33" customHeight="1" hidden="1">
      <c r="B85" s="258" t="s">
        <v>1159</v>
      </c>
      <c r="C85" s="322">
        <f>SUM(D85:K85)</f>
        <v>489314</v>
      </c>
      <c r="D85" s="323">
        <v>21518</v>
      </c>
      <c r="E85" s="323">
        <v>4817</v>
      </c>
      <c r="F85" s="323">
        <v>41936</v>
      </c>
      <c r="G85" s="323">
        <v>66090</v>
      </c>
      <c r="H85" s="323">
        <v>61697</v>
      </c>
      <c r="I85" s="323">
        <v>288277</v>
      </c>
      <c r="J85" s="323">
        <v>4978</v>
      </c>
      <c r="K85" s="323">
        <v>1</v>
      </c>
      <c r="P85" s="99"/>
    </row>
    <row r="86" spans="2:11" ht="33" customHeight="1" hidden="1">
      <c r="B86" s="258" t="s">
        <v>1160</v>
      </c>
      <c r="C86" s="322">
        <f>SUM(D86:K86)</f>
        <v>2007328</v>
      </c>
      <c r="D86" s="323">
        <v>18964</v>
      </c>
      <c r="E86" s="323">
        <v>4992</v>
      </c>
      <c r="F86" s="323">
        <v>49330</v>
      </c>
      <c r="G86" s="323">
        <v>800000</v>
      </c>
      <c r="H86" s="323">
        <v>3880</v>
      </c>
      <c r="I86" s="323">
        <v>415561</v>
      </c>
      <c r="J86" s="323">
        <v>714462</v>
      </c>
      <c r="K86" s="323">
        <v>139</v>
      </c>
    </row>
    <row r="87" spans="2:11" ht="33" customHeight="1" hidden="1">
      <c r="B87" s="258" t="s">
        <v>1161</v>
      </c>
      <c r="C87" s="322">
        <v>598550</v>
      </c>
      <c r="D87" s="323">
        <v>28727</v>
      </c>
      <c r="E87" s="323">
        <v>5321</v>
      </c>
      <c r="F87" s="323">
        <v>47431</v>
      </c>
      <c r="G87" s="323">
        <v>30214</v>
      </c>
      <c r="H87" s="323">
        <v>14759</v>
      </c>
      <c r="I87" s="323">
        <v>451275</v>
      </c>
      <c r="J87" s="323">
        <v>20790</v>
      </c>
      <c r="K87" s="323">
        <v>32</v>
      </c>
    </row>
    <row r="88" spans="2:11" ht="33" customHeight="1" hidden="1">
      <c r="B88" s="258" t="s">
        <v>1162</v>
      </c>
      <c r="C88" s="322">
        <v>1026271</v>
      </c>
      <c r="D88" s="323">
        <v>20524</v>
      </c>
      <c r="E88" s="323">
        <v>5248</v>
      </c>
      <c r="F88" s="328">
        <v>51571</v>
      </c>
      <c r="G88" s="328">
        <v>32165</v>
      </c>
      <c r="H88" s="323">
        <v>522496</v>
      </c>
      <c r="I88" s="323">
        <v>385557</v>
      </c>
      <c r="J88" s="323">
        <v>8701</v>
      </c>
      <c r="K88" s="328">
        <v>9</v>
      </c>
    </row>
    <row r="89" spans="2:11" ht="33" customHeight="1" hidden="1">
      <c r="B89" s="273"/>
      <c r="C89" s="328"/>
      <c r="D89" s="323"/>
      <c r="E89" s="323"/>
      <c r="F89" s="328"/>
      <c r="G89" s="328"/>
      <c r="H89" s="323"/>
      <c r="I89" s="323"/>
      <c r="J89" s="323"/>
      <c r="K89" s="328"/>
    </row>
    <row r="90" spans="2:11" s="157" customFormat="1" ht="30" customHeight="1">
      <c r="B90" s="112" t="s">
        <v>1165</v>
      </c>
      <c r="C90" s="328">
        <f>SUM(C91:C94)</f>
        <v>3929761</v>
      </c>
      <c r="D90" s="328">
        <f aca="true" t="shared" si="5" ref="D90:K90">SUM(D91:D94)</f>
        <v>95811</v>
      </c>
      <c r="E90" s="328">
        <f t="shared" si="5"/>
        <v>20763</v>
      </c>
      <c r="F90" s="328">
        <f t="shared" si="5"/>
        <v>161217</v>
      </c>
      <c r="G90" s="328">
        <f t="shared" si="5"/>
        <v>953476</v>
      </c>
      <c r="H90" s="328">
        <f t="shared" si="5"/>
        <v>607073</v>
      </c>
      <c r="I90" s="328">
        <f t="shared" si="5"/>
        <v>1316305</v>
      </c>
      <c r="J90" s="328">
        <f t="shared" si="5"/>
        <v>775094</v>
      </c>
      <c r="K90" s="328">
        <f t="shared" si="5"/>
        <v>22</v>
      </c>
    </row>
    <row r="91" spans="2:11" ht="33" customHeight="1" hidden="1">
      <c r="B91" s="258" t="s">
        <v>1159</v>
      </c>
      <c r="C91" s="322">
        <v>463608</v>
      </c>
      <c r="D91" s="323">
        <v>23172</v>
      </c>
      <c r="E91" s="323">
        <v>4914</v>
      </c>
      <c r="F91" s="329">
        <v>44693</v>
      </c>
      <c r="G91" s="328">
        <v>58672</v>
      </c>
      <c r="H91" s="323">
        <v>6766</v>
      </c>
      <c r="I91" s="323">
        <v>318971</v>
      </c>
      <c r="J91" s="323">
        <v>6409</v>
      </c>
      <c r="K91" s="329">
        <v>11</v>
      </c>
    </row>
    <row r="92" spans="2:11" ht="33" customHeight="1" hidden="1">
      <c r="B92" s="258" t="s">
        <v>1160</v>
      </c>
      <c r="C92" s="330">
        <f>SUM(D92:K92)</f>
        <v>2075486</v>
      </c>
      <c r="D92" s="323">
        <v>22191</v>
      </c>
      <c r="E92" s="323">
        <v>5369</v>
      </c>
      <c r="F92" s="329">
        <v>39634</v>
      </c>
      <c r="G92" s="329">
        <v>839093</v>
      </c>
      <c r="H92" s="323">
        <v>66142</v>
      </c>
      <c r="I92" s="323">
        <v>365798</v>
      </c>
      <c r="J92" s="323">
        <v>737254</v>
      </c>
      <c r="K92" s="329">
        <v>5</v>
      </c>
    </row>
    <row r="93" spans="2:11" ht="33" customHeight="1" hidden="1">
      <c r="B93" s="258" t="s">
        <v>1161</v>
      </c>
      <c r="C93" s="323">
        <v>449462</v>
      </c>
      <c r="D93" s="323">
        <v>28245</v>
      </c>
      <c r="E93" s="323">
        <v>5444</v>
      </c>
      <c r="F93" s="323">
        <v>39999</v>
      </c>
      <c r="G93" s="323">
        <v>25142</v>
      </c>
      <c r="H93" s="323">
        <v>13869</v>
      </c>
      <c r="I93" s="323">
        <v>314295</v>
      </c>
      <c r="J93" s="323">
        <v>22468</v>
      </c>
      <c r="K93" s="327">
        <v>0</v>
      </c>
    </row>
    <row r="94" spans="2:11" ht="33" customHeight="1" hidden="1">
      <c r="B94" s="258" t="s">
        <v>1162</v>
      </c>
      <c r="C94" s="323">
        <v>941205</v>
      </c>
      <c r="D94" s="323">
        <v>22203</v>
      </c>
      <c r="E94" s="323">
        <v>5036</v>
      </c>
      <c r="F94" s="323">
        <v>36891</v>
      </c>
      <c r="G94" s="323">
        <v>30569</v>
      </c>
      <c r="H94" s="323">
        <v>520296</v>
      </c>
      <c r="I94" s="323">
        <v>317241</v>
      </c>
      <c r="J94" s="323">
        <v>8963</v>
      </c>
      <c r="K94" s="323">
        <v>6</v>
      </c>
    </row>
    <row r="95" spans="2:11" s="157" customFormat="1" ht="30" customHeight="1">
      <c r="B95" s="112" t="s">
        <v>1166</v>
      </c>
      <c r="C95" s="323">
        <f aca="true" t="shared" si="6" ref="C95:K95">SUM(C96:C99)</f>
        <v>3515526</v>
      </c>
      <c r="D95" s="323">
        <f t="shared" si="6"/>
        <v>92544</v>
      </c>
      <c r="E95" s="323">
        <f t="shared" si="6"/>
        <v>22642</v>
      </c>
      <c r="F95" s="323">
        <f t="shared" si="6"/>
        <v>168263</v>
      </c>
      <c r="G95" s="323">
        <f t="shared" si="6"/>
        <v>949099</v>
      </c>
      <c r="H95" s="323">
        <f t="shared" si="6"/>
        <v>545586</v>
      </c>
      <c r="I95" s="323">
        <f t="shared" si="6"/>
        <v>941311</v>
      </c>
      <c r="J95" s="323">
        <f t="shared" si="6"/>
        <v>796077</v>
      </c>
      <c r="K95" s="323">
        <f t="shared" si="6"/>
        <v>4</v>
      </c>
    </row>
    <row r="96" spans="2:11" ht="33" customHeight="1" hidden="1">
      <c r="B96" s="258" t="s">
        <v>1159</v>
      </c>
      <c r="C96" s="323">
        <v>377289</v>
      </c>
      <c r="D96" s="323">
        <v>23833</v>
      </c>
      <c r="E96" s="323">
        <v>6958</v>
      </c>
      <c r="F96" s="323">
        <v>43244</v>
      </c>
      <c r="G96" s="323">
        <v>40058</v>
      </c>
      <c r="H96" s="323">
        <v>12277</v>
      </c>
      <c r="I96" s="323">
        <v>243027</v>
      </c>
      <c r="J96" s="323">
        <v>7892</v>
      </c>
      <c r="K96" s="217">
        <v>0</v>
      </c>
    </row>
    <row r="97" spans="2:11" ht="33" customHeight="1" hidden="1">
      <c r="B97" s="258" t="s">
        <v>1160</v>
      </c>
      <c r="C97" s="323">
        <v>1924930</v>
      </c>
      <c r="D97" s="323">
        <v>20196</v>
      </c>
      <c r="E97" s="323">
        <v>5086</v>
      </c>
      <c r="F97" s="323">
        <v>46252</v>
      </c>
      <c r="G97" s="323">
        <v>859979</v>
      </c>
      <c r="H97" s="323">
        <v>9862</v>
      </c>
      <c r="I97" s="323">
        <v>228262</v>
      </c>
      <c r="J97" s="323">
        <v>755293</v>
      </c>
      <c r="K97" s="217">
        <v>0</v>
      </c>
    </row>
    <row r="98" spans="2:11" s="157" customFormat="1" ht="30" customHeight="1" hidden="1">
      <c r="B98" s="258" t="s">
        <v>1161</v>
      </c>
      <c r="C98" s="323">
        <v>361983</v>
      </c>
      <c r="D98" s="323">
        <v>25951</v>
      </c>
      <c r="E98" s="323">
        <v>5245</v>
      </c>
      <c r="F98" s="323">
        <v>32999</v>
      </c>
      <c r="G98" s="323">
        <v>19801</v>
      </c>
      <c r="H98" s="323">
        <v>4142</v>
      </c>
      <c r="I98" s="323">
        <v>257851</v>
      </c>
      <c r="J98" s="323">
        <v>15994</v>
      </c>
      <c r="K98" s="217">
        <v>0</v>
      </c>
    </row>
    <row r="99" spans="2:11" s="157" customFormat="1" ht="30" customHeight="1" hidden="1">
      <c r="B99" s="258" t="s">
        <v>1107</v>
      </c>
      <c r="C99" s="323">
        <v>851324</v>
      </c>
      <c r="D99" s="323">
        <v>22564</v>
      </c>
      <c r="E99" s="323">
        <v>5353</v>
      </c>
      <c r="F99" s="323">
        <v>45768</v>
      </c>
      <c r="G99" s="323">
        <v>29261</v>
      </c>
      <c r="H99" s="323">
        <v>519305</v>
      </c>
      <c r="I99" s="323">
        <v>212171</v>
      </c>
      <c r="J99" s="323">
        <v>16898</v>
      </c>
      <c r="K99" s="323">
        <v>4</v>
      </c>
    </row>
    <row r="100" spans="2:11" s="157" customFormat="1" ht="30" customHeight="1">
      <c r="B100" s="112" t="s">
        <v>1167</v>
      </c>
      <c r="C100" s="323">
        <f>SUM(C101:C104)</f>
        <v>3827407</v>
      </c>
      <c r="D100" s="323">
        <f>SUM(D101:D104)</f>
        <v>93287</v>
      </c>
      <c r="E100" s="323">
        <f aca="true" t="shared" si="7" ref="E100:K100">SUM(E101:E104)</f>
        <v>19532</v>
      </c>
      <c r="F100" s="323">
        <f t="shared" si="7"/>
        <v>161459</v>
      </c>
      <c r="G100" s="323">
        <f t="shared" si="7"/>
        <v>954282</v>
      </c>
      <c r="H100" s="323">
        <f t="shared" si="7"/>
        <v>548353</v>
      </c>
      <c r="I100" s="323">
        <f t="shared" si="7"/>
        <v>1219588</v>
      </c>
      <c r="J100" s="323">
        <f t="shared" si="7"/>
        <v>830918</v>
      </c>
      <c r="K100" s="299">
        <f t="shared" si="7"/>
        <v>-12</v>
      </c>
    </row>
    <row r="101" spans="2:11" s="157" customFormat="1" ht="30" customHeight="1" hidden="1">
      <c r="B101" s="258" t="s">
        <v>1159</v>
      </c>
      <c r="C101" s="323">
        <v>327806</v>
      </c>
      <c r="D101" s="323">
        <v>21911</v>
      </c>
      <c r="E101" s="323">
        <v>4676</v>
      </c>
      <c r="F101" s="323">
        <v>33555</v>
      </c>
      <c r="G101" s="323">
        <v>70098</v>
      </c>
      <c r="H101" s="323">
        <v>23756</v>
      </c>
      <c r="I101" s="323">
        <v>165932</v>
      </c>
      <c r="J101" s="323">
        <v>7877</v>
      </c>
      <c r="K101" s="323">
        <v>1</v>
      </c>
    </row>
    <row r="102" spans="2:11" s="157" customFormat="1" ht="30" customHeight="1" hidden="1">
      <c r="B102" s="258" t="s">
        <v>1168</v>
      </c>
      <c r="C102" s="323">
        <v>1898279</v>
      </c>
      <c r="D102" s="323">
        <v>22821</v>
      </c>
      <c r="E102" s="323">
        <v>4825</v>
      </c>
      <c r="F102" s="323">
        <v>48068</v>
      </c>
      <c r="G102" s="323">
        <v>831515</v>
      </c>
      <c r="H102" s="323">
        <v>4227</v>
      </c>
      <c r="I102" s="323">
        <v>210783</v>
      </c>
      <c r="J102" s="323">
        <v>776045</v>
      </c>
      <c r="K102" s="299">
        <v>-5</v>
      </c>
    </row>
    <row r="103" spans="2:11" s="157" customFormat="1" ht="30" customHeight="1" hidden="1">
      <c r="B103" s="258" t="s">
        <v>1161</v>
      </c>
      <c r="C103" s="323">
        <f>SUM('[3]稅捐表'!C92:C94)</f>
        <v>397294</v>
      </c>
      <c r="D103" s="323">
        <f>SUM('[3]稅捐表'!I92:I94)</f>
        <v>29305</v>
      </c>
      <c r="E103" s="323">
        <f>SUM('[3]稅捐表'!J92:J94)</f>
        <v>5355</v>
      </c>
      <c r="F103" s="323">
        <f>SUM('[3]稅捐表'!H92:H94)</f>
        <v>43044</v>
      </c>
      <c r="G103" s="323">
        <f>SUM('[3]稅捐表'!G92:G94)</f>
        <v>22989</v>
      </c>
      <c r="H103" s="323">
        <f>SUM('[3]稅捐表'!D92:D94)</f>
        <v>5143</v>
      </c>
      <c r="I103" s="323">
        <f>SUM('[3]稅捐表'!E92:E94)</f>
        <v>271051</v>
      </c>
      <c r="J103" s="323">
        <f>SUM('[3]稅捐表'!F92:F94)</f>
        <v>20407</v>
      </c>
      <c r="K103" s="219">
        <f>SUM('[3]稅捐表'!K92:K94)</f>
        <v>0</v>
      </c>
    </row>
    <row r="104" spans="2:13" s="157" customFormat="1" ht="30" customHeight="1">
      <c r="B104" s="258" t="s">
        <v>1106</v>
      </c>
      <c r="C104" s="323">
        <f>SUM('[12]稅捐表'!C95:C97)</f>
        <v>1204028</v>
      </c>
      <c r="D104" s="323">
        <f>SUM('[12]稅捐表'!I95:I97)</f>
        <v>19250</v>
      </c>
      <c r="E104" s="323">
        <f>SUM('[12]稅捐表'!J95:J97)</f>
        <v>4676</v>
      </c>
      <c r="F104" s="323">
        <f>SUM('[12]稅捐表'!H95:H97)</f>
        <v>36792</v>
      </c>
      <c r="G104" s="323">
        <f>SUM('[12]稅捐表'!G95:G97)</f>
        <v>29680</v>
      </c>
      <c r="H104" s="323">
        <f>SUM('[12]稅捐表'!D95:D97)</f>
        <v>515227</v>
      </c>
      <c r="I104" s="323">
        <f>SUM('[12]稅捐表'!E95:E97)</f>
        <v>571822</v>
      </c>
      <c r="J104" s="323">
        <f>SUM('[12]稅捐表'!F95:F97)</f>
        <v>26589</v>
      </c>
      <c r="K104" s="299">
        <f>SUM('[12]稅捐表'!K95:K97)</f>
        <v>-8</v>
      </c>
      <c r="M104" s="649"/>
    </row>
    <row r="105" spans="2:15" s="157" customFormat="1" ht="30" customHeight="1">
      <c r="B105" s="112" t="s">
        <v>220</v>
      </c>
      <c r="C105" s="323">
        <f>SUM(C106:C109)</f>
        <v>4403401</v>
      </c>
      <c r="D105" s="323">
        <f>SUM(D106:D109)</f>
        <v>102989</v>
      </c>
      <c r="E105" s="323">
        <f aca="true" t="shared" si="8" ref="E105:K105">SUM(E106:E109)</f>
        <v>19776</v>
      </c>
      <c r="F105" s="323">
        <f t="shared" si="8"/>
        <v>172182</v>
      </c>
      <c r="G105" s="323">
        <f t="shared" si="8"/>
        <v>972993</v>
      </c>
      <c r="H105" s="323">
        <f t="shared" si="8"/>
        <v>651720</v>
      </c>
      <c r="I105" s="323">
        <f t="shared" si="8"/>
        <v>1631625</v>
      </c>
      <c r="J105" s="323">
        <f t="shared" si="8"/>
        <v>852143</v>
      </c>
      <c r="K105" s="299">
        <f t="shared" si="8"/>
        <v>-27</v>
      </c>
      <c r="N105" s="649"/>
      <c r="O105" s="649"/>
    </row>
    <row r="106" spans="2:11" s="157" customFormat="1" ht="30" customHeight="1">
      <c r="B106" s="258" t="s">
        <v>1159</v>
      </c>
      <c r="C106" s="323">
        <f>SUM('[15]稅捐表'!C99:C101)</f>
        <v>489440</v>
      </c>
      <c r="D106" s="323">
        <f>SUM('[15]稅捐表'!I99:I101)</f>
        <v>22123</v>
      </c>
      <c r="E106" s="323">
        <f>SUM('[15]稅捐表'!J99:J101)</f>
        <v>4570</v>
      </c>
      <c r="F106" s="323">
        <f>SUM('[15]稅捐表'!H99:H101)</f>
        <v>38981</v>
      </c>
      <c r="G106" s="323">
        <f>SUM('[15]稅捐表'!G99:G101)</f>
        <v>82083</v>
      </c>
      <c r="H106" s="323">
        <f>SUM('[15]稅捐表'!D99:D101)</f>
        <v>29688</v>
      </c>
      <c r="I106" s="323">
        <f>SUM('[15]稅捐表'!E99:E101)</f>
        <v>302813</v>
      </c>
      <c r="J106" s="323">
        <f>SUM('[15]稅捐表'!F99:F101)</f>
        <v>9184</v>
      </c>
      <c r="K106" s="299">
        <f>SUM('[15]稅捐表'!K99:K101)</f>
        <v>-2</v>
      </c>
    </row>
    <row r="107" spans="2:11" s="157" customFormat="1" ht="30" customHeight="1">
      <c r="B107" s="258" t="s">
        <v>1168</v>
      </c>
      <c r="C107" s="323">
        <f>SUM('[18]稅捐表'!C102:C104)</f>
        <v>2159784</v>
      </c>
      <c r="D107" s="323">
        <f>SUM('[18]稅捐表'!I102:I104)</f>
        <v>23586</v>
      </c>
      <c r="E107" s="323">
        <f>SUM('[18]稅捐表'!J102:J104)</f>
        <v>4679</v>
      </c>
      <c r="F107" s="323">
        <f>SUM('[18]稅捐表'!H102:H104)</f>
        <v>44719</v>
      </c>
      <c r="G107" s="323">
        <f>SUM('[18]稅捐表'!G102:G104)</f>
        <v>839477</v>
      </c>
      <c r="H107" s="323">
        <f>SUM('[18]稅捐表'!D102:D104)</f>
        <v>8166</v>
      </c>
      <c r="I107" s="323">
        <f>SUM('[18]稅捐表'!E102:E104)</f>
        <v>432711</v>
      </c>
      <c r="J107" s="323">
        <f>SUM('[18]稅捐表'!F102:F104)</f>
        <v>806456</v>
      </c>
      <c r="K107" s="299">
        <f>SUM('[18]稅捐表'!K102:K104)</f>
        <v>-10</v>
      </c>
    </row>
    <row r="108" spans="2:11" s="157" customFormat="1" ht="30" customHeight="1">
      <c r="B108" s="258" t="s">
        <v>1161</v>
      </c>
      <c r="C108" s="323">
        <f>SUM('[20]稅捐表'!C105:C107)</f>
        <v>480177</v>
      </c>
      <c r="D108" s="323">
        <f>SUM('[20]稅捐表'!I105:I107)</f>
        <v>28286</v>
      </c>
      <c r="E108" s="323">
        <f>SUM('[20]稅捐表'!J105:J107)</f>
        <v>5816</v>
      </c>
      <c r="F108" s="323">
        <f>SUM('[20]稅捐表'!H105:H107)</f>
        <v>39642</v>
      </c>
      <c r="G108" s="323">
        <f>SUM('[20]稅捐表'!G105:G107)</f>
        <v>22468</v>
      </c>
      <c r="H108" s="323">
        <f>SUM('[20]稅捐表'!D105:D107)</f>
        <v>5883</v>
      </c>
      <c r="I108" s="323">
        <f>SUM('[20]稅捐表'!E105:E107)</f>
        <v>355932</v>
      </c>
      <c r="J108" s="323">
        <f>SUM('[20]稅捐表'!F105:F107)</f>
        <v>22157</v>
      </c>
      <c r="K108" s="299">
        <f>SUM('[20]稅捐表'!K105:K107)</f>
        <v>-7</v>
      </c>
    </row>
    <row r="109" spans="2:11" s="157" customFormat="1" ht="30" customHeight="1" thickBot="1">
      <c r="B109" s="258" t="s">
        <v>1106</v>
      </c>
      <c r="C109" s="323">
        <v>1274000</v>
      </c>
      <c r="D109" s="323">
        <f>SUM('[23]稅捐表'!I108:I110)</f>
        <v>28994</v>
      </c>
      <c r="E109" s="323">
        <f>SUM('[23]稅捐表'!J108:J110)</f>
        <v>4711</v>
      </c>
      <c r="F109" s="323">
        <f>SUM('[23]稅捐表'!H108:H110)</f>
        <v>48840</v>
      </c>
      <c r="G109" s="323">
        <v>28965</v>
      </c>
      <c r="H109" s="323">
        <v>607983</v>
      </c>
      <c r="I109" s="323">
        <f>SUM('[23]稅捐表'!E108:E110)</f>
        <v>540169</v>
      </c>
      <c r="J109" s="323">
        <v>14346</v>
      </c>
      <c r="K109" s="299">
        <f>SUM('[23]稅捐表'!K108:K110)</f>
        <v>-8</v>
      </c>
    </row>
    <row r="110" spans="2:11" ht="24.75" customHeight="1" thickBot="1">
      <c r="B110" s="929" t="s">
        <v>1169</v>
      </c>
      <c r="C110" s="932">
        <f>(C109-C108)/C108*100</f>
        <v>165.31883034797585</v>
      </c>
      <c r="D110" s="934">
        <f aca="true" t="shared" si="9" ref="D110:J110">(D109-D108)/D108*100</f>
        <v>2.5030050201513117</v>
      </c>
      <c r="E110" s="934">
        <f t="shared" si="9"/>
        <v>-18.999312242090785</v>
      </c>
      <c r="F110" s="934">
        <f t="shared" si="9"/>
        <v>23.202663841380357</v>
      </c>
      <c r="G110" s="934">
        <f t="shared" si="9"/>
        <v>28.916681502581447</v>
      </c>
      <c r="H110" s="934">
        <f t="shared" si="9"/>
        <v>10234.574196838348</v>
      </c>
      <c r="I110" s="934">
        <f t="shared" si="9"/>
        <v>51.76185338772574</v>
      </c>
      <c r="J110" s="934">
        <f t="shared" si="9"/>
        <v>-35.25296745949361</v>
      </c>
      <c r="K110" s="319" t="s">
        <v>1172</v>
      </c>
    </row>
    <row r="111" spans="2:15" ht="24.75" customHeight="1" thickBot="1">
      <c r="B111" s="930"/>
      <c r="C111" s="932"/>
      <c r="D111" s="935"/>
      <c r="E111" s="935"/>
      <c r="F111" s="935"/>
      <c r="G111" s="935"/>
      <c r="H111" s="935"/>
      <c r="I111" s="935"/>
      <c r="J111" s="935"/>
      <c r="K111" s="300">
        <f>K109-K108</f>
        <v>-1</v>
      </c>
      <c r="N111" s="301"/>
      <c r="O111" s="301"/>
    </row>
    <row r="112" spans="2:11" ht="24.75" customHeight="1" thickBot="1">
      <c r="B112" s="939" t="s">
        <v>1170</v>
      </c>
      <c r="C112" s="932">
        <f>(C109-C104)/C104*100</f>
        <v>5.811492755982419</v>
      </c>
      <c r="D112" s="931">
        <f aca="true" t="shared" si="10" ref="D112:J112">(D109-D104)/D104*100</f>
        <v>50.61818181818182</v>
      </c>
      <c r="E112" s="931">
        <f t="shared" si="10"/>
        <v>0.7485029940119761</v>
      </c>
      <c r="F112" s="931">
        <f t="shared" si="10"/>
        <v>32.74624918460535</v>
      </c>
      <c r="G112" s="931">
        <f t="shared" si="10"/>
        <v>-2.4090296495956873</v>
      </c>
      <c r="H112" s="931">
        <f t="shared" si="10"/>
        <v>18.00293851059824</v>
      </c>
      <c r="I112" s="931">
        <f t="shared" si="10"/>
        <v>-5.535463833150875</v>
      </c>
      <c r="J112" s="931">
        <f t="shared" si="10"/>
        <v>-46.045357102561205</v>
      </c>
      <c r="K112" s="319" t="s">
        <v>1172</v>
      </c>
    </row>
    <row r="113" spans="2:11" ht="24.75" customHeight="1" thickBot="1">
      <c r="B113" s="940"/>
      <c r="C113" s="932"/>
      <c r="D113" s="931"/>
      <c r="E113" s="931"/>
      <c r="F113" s="931"/>
      <c r="G113" s="931"/>
      <c r="H113" s="931"/>
      <c r="I113" s="931"/>
      <c r="J113" s="931"/>
      <c r="K113" s="710">
        <f>K109-K104</f>
        <v>0</v>
      </c>
    </row>
    <row r="114" spans="2:11" ht="21.75" customHeight="1">
      <c r="B114" s="936" t="s">
        <v>1295</v>
      </c>
      <c r="C114" s="936"/>
      <c r="D114" s="936"/>
      <c r="G114" s="301"/>
      <c r="K114" s="221"/>
    </row>
    <row r="115" spans="4:11" ht="33" customHeight="1">
      <c r="D115" s="301"/>
      <c r="G115" s="938"/>
      <c r="H115" s="938"/>
      <c r="I115" s="938"/>
      <c r="J115" s="938"/>
      <c r="K115" s="938"/>
    </row>
    <row r="116" spans="1:12" ht="77.25" customHeight="1">
      <c r="A116" s="937" t="s">
        <v>1104</v>
      </c>
      <c r="B116" s="937"/>
      <c r="C116" s="937"/>
      <c r="D116" s="937"/>
      <c r="E116" s="937"/>
      <c r="F116" s="937"/>
      <c r="G116" s="937"/>
      <c r="H116" s="937"/>
      <c r="I116" s="937"/>
      <c r="J116" s="937"/>
      <c r="K116" s="937"/>
      <c r="L116" s="937"/>
    </row>
  </sheetData>
  <mergeCells count="24">
    <mergeCell ref="A116:L116"/>
    <mergeCell ref="G115:K115"/>
    <mergeCell ref="I112:I113"/>
    <mergeCell ref="J112:J113"/>
    <mergeCell ref="B112:B113"/>
    <mergeCell ref="J110:J111"/>
    <mergeCell ref="G112:G113"/>
    <mergeCell ref="I110:I111"/>
    <mergeCell ref="B114:D114"/>
    <mergeCell ref="D112:D113"/>
    <mergeCell ref="E110:E111"/>
    <mergeCell ref="F110:F111"/>
    <mergeCell ref="H110:H111"/>
    <mergeCell ref="G110:G111"/>
    <mergeCell ref="A1:L1"/>
    <mergeCell ref="B110:B111"/>
    <mergeCell ref="H112:H113"/>
    <mergeCell ref="C110:C111"/>
    <mergeCell ref="B2:K3"/>
    <mergeCell ref="C112:C113"/>
    <mergeCell ref="A58:L58"/>
    <mergeCell ref="D110:D111"/>
    <mergeCell ref="F112:F113"/>
    <mergeCell ref="E112:E11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62"/>
  <sheetViews>
    <sheetView workbookViewId="0" topLeftCell="A1">
      <selection activeCell="K6" sqref="K6"/>
    </sheetView>
  </sheetViews>
  <sheetFormatPr defaultColWidth="9.00390625" defaultRowHeight="33" customHeight="1"/>
  <cols>
    <col min="1" max="1" width="2.625" style="0" customWidth="1"/>
    <col min="2" max="11" width="8.75390625" style="0" customWidth="1"/>
    <col min="12" max="12" width="2.625" style="0" customWidth="1"/>
    <col min="13" max="13" width="11.375" style="2" customWidth="1"/>
    <col min="14" max="14" width="6.00390625" style="2" customWidth="1"/>
    <col min="15" max="15" width="9.50390625" style="2" customWidth="1"/>
    <col min="16" max="16" width="5.125" style="2" customWidth="1"/>
    <col min="17" max="17" width="8.00390625" style="2" customWidth="1"/>
    <col min="18" max="18" width="5.00390625" style="2" customWidth="1"/>
    <col min="19" max="19" width="8.00390625" style="2" customWidth="1"/>
    <col min="20" max="20" width="5.25390625" style="2" customWidth="1"/>
    <col min="21" max="21" width="8.75390625" style="2" customWidth="1"/>
    <col min="22" max="22" width="5.00390625" style="0" customWidth="1"/>
    <col min="23" max="23" width="6.75390625" style="0" customWidth="1"/>
    <col min="24" max="24" width="5.125" style="0" customWidth="1"/>
    <col min="25" max="25" width="9.75390625" style="39" customWidth="1"/>
    <col min="26" max="26" width="6.00390625" style="0" customWidth="1"/>
    <col min="27" max="27" width="8.75390625" style="0" customWidth="1"/>
    <col min="28" max="28" width="6.00390625" style="0" customWidth="1"/>
    <col min="29" max="29" width="8.75390625" style="0" customWidth="1"/>
    <col min="30" max="30" width="5.125" style="0" customWidth="1"/>
    <col min="31" max="31" width="8.75390625" style="0" customWidth="1"/>
    <col min="32" max="32" width="5.125" style="0" customWidth="1"/>
    <col min="33" max="33" width="8.75390625" style="0" customWidth="1"/>
    <col min="34" max="34" width="5.00390625" style="0" customWidth="1"/>
    <col min="35" max="35" width="8.125" style="0" customWidth="1"/>
    <col min="36" max="36" width="5.00390625" style="0" customWidth="1"/>
    <col min="37" max="37" width="8.00390625" style="0" customWidth="1"/>
    <col min="38" max="38" width="5.00390625" style="0" customWidth="1"/>
    <col min="39" max="39" width="8.00390625" style="0" customWidth="1"/>
    <col min="40" max="40" width="5.00390625" style="0" customWidth="1"/>
    <col min="41" max="41" width="8.50390625" style="0" customWidth="1"/>
    <col min="42" max="42" width="5.125" style="0" customWidth="1"/>
    <col min="43" max="43" width="8.875" style="0" customWidth="1"/>
    <col min="44" max="44" width="5.75390625" style="0" customWidth="1"/>
    <col min="45" max="45" width="8.875" style="0" customWidth="1"/>
    <col min="46" max="46" width="5.625" style="0" customWidth="1"/>
    <col min="47" max="47" width="6.25390625" style="0" customWidth="1"/>
    <col min="48" max="48" width="5.625" style="0" customWidth="1"/>
    <col min="49" max="49" width="6.875" style="0" customWidth="1"/>
    <col min="50" max="50" width="5.625" style="0" customWidth="1"/>
    <col min="51" max="51" width="8.125" style="0" customWidth="1"/>
    <col min="52" max="52" width="5.625" style="0" customWidth="1"/>
    <col min="53" max="53" width="6.25390625" style="0" customWidth="1"/>
  </cols>
  <sheetData>
    <row r="1" spans="1:53" ht="49.5" customHeight="1">
      <c r="A1" s="869" t="s">
        <v>1115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949" t="s">
        <v>1260</v>
      </c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  <c r="Z1" s="949" t="s">
        <v>97</v>
      </c>
      <c r="AA1" s="950"/>
      <c r="AB1" s="950"/>
      <c r="AC1" s="950"/>
      <c r="AD1" s="950"/>
      <c r="AE1" s="950"/>
      <c r="AF1" s="950"/>
      <c r="AG1" s="950"/>
      <c r="AH1" s="950"/>
      <c r="AI1" s="950"/>
      <c r="AJ1" s="950"/>
      <c r="AK1" s="950"/>
      <c r="AL1" s="950"/>
      <c r="AM1" s="950"/>
      <c r="AN1" s="949" t="s">
        <v>98</v>
      </c>
      <c r="AO1" s="950"/>
      <c r="AP1" s="950"/>
      <c r="AQ1" s="950"/>
      <c r="AR1" s="950"/>
      <c r="AS1" s="950"/>
      <c r="AT1" s="950"/>
      <c r="AU1" s="950"/>
      <c r="AV1" s="950"/>
      <c r="AW1" s="950"/>
      <c r="AX1" s="950"/>
      <c r="AY1" s="950"/>
      <c r="AZ1" s="950"/>
      <c r="BA1" s="950"/>
    </row>
    <row r="2" spans="2:34" ht="36" customHeight="1" thickBot="1">
      <c r="B2" s="907" t="s">
        <v>842</v>
      </c>
      <c r="C2" s="907"/>
      <c r="D2" s="907"/>
      <c r="E2" s="907"/>
      <c r="F2" s="907"/>
      <c r="G2" s="907"/>
      <c r="H2" s="907"/>
      <c r="I2" s="907"/>
      <c r="J2" s="907"/>
      <c r="K2" s="907"/>
      <c r="M2" s="407"/>
      <c r="N2" s="409"/>
      <c r="O2" s="409"/>
      <c r="P2" s="409"/>
      <c r="Q2" s="409"/>
      <c r="R2" s="409"/>
      <c r="S2" s="409"/>
      <c r="T2" s="409"/>
      <c r="U2" s="944" t="s">
        <v>1202</v>
      </c>
      <c r="V2" s="944"/>
      <c r="W2" s="944"/>
      <c r="X2" s="944"/>
      <c r="Y2" s="944"/>
      <c r="Z2" s="524"/>
      <c r="AA2" s="524"/>
      <c r="AB2" s="524"/>
      <c r="AC2" s="524"/>
      <c r="AD2" s="524"/>
      <c r="AE2" s="524"/>
      <c r="AF2" s="524"/>
      <c r="AG2" s="524"/>
      <c r="AH2" s="524"/>
    </row>
    <row r="3" spans="2:55" ht="30" customHeight="1">
      <c r="B3" s="907"/>
      <c r="C3" s="907"/>
      <c r="D3" s="907"/>
      <c r="E3" s="907"/>
      <c r="F3" s="907"/>
      <c r="G3" s="907"/>
      <c r="H3" s="907"/>
      <c r="I3" s="907"/>
      <c r="J3" s="907"/>
      <c r="K3" s="907"/>
      <c r="M3" s="951" t="s">
        <v>11</v>
      </c>
      <c r="N3" s="955" t="s">
        <v>21</v>
      </c>
      <c r="O3" s="956"/>
      <c r="P3" s="958" t="s">
        <v>22</v>
      </c>
      <c r="Q3" s="959"/>
      <c r="R3" s="958" t="s">
        <v>23</v>
      </c>
      <c r="S3" s="959"/>
      <c r="T3" s="945" t="s">
        <v>24</v>
      </c>
      <c r="U3" s="989"/>
      <c r="V3" s="992" t="s">
        <v>25</v>
      </c>
      <c r="W3" s="956"/>
      <c r="X3" s="958" t="s">
        <v>26</v>
      </c>
      <c r="Y3" s="945"/>
      <c r="Z3" s="945" t="s">
        <v>27</v>
      </c>
      <c r="AA3" s="946"/>
      <c r="AB3" s="958" t="s">
        <v>28</v>
      </c>
      <c r="AC3" s="946"/>
      <c r="AD3" s="958" t="s">
        <v>29</v>
      </c>
      <c r="AE3" s="946"/>
      <c r="AF3" s="958" t="s">
        <v>30</v>
      </c>
      <c r="AG3" s="946"/>
      <c r="AH3" s="958" t="s">
        <v>31</v>
      </c>
      <c r="AI3" s="945"/>
      <c r="AJ3" s="958" t="s">
        <v>32</v>
      </c>
      <c r="AK3" s="946"/>
      <c r="AL3" s="982" t="s">
        <v>33</v>
      </c>
      <c r="AM3" s="983"/>
      <c r="AN3" s="945" t="s">
        <v>34</v>
      </c>
      <c r="AO3" s="946"/>
      <c r="AP3" s="958" t="s">
        <v>35</v>
      </c>
      <c r="AQ3" s="946"/>
      <c r="AR3" s="976" t="s">
        <v>36</v>
      </c>
      <c r="AS3" s="981"/>
      <c r="AT3" s="964" t="s">
        <v>37</v>
      </c>
      <c r="AU3" s="964"/>
      <c r="AV3" s="964"/>
      <c r="AW3" s="964"/>
      <c r="AX3" s="975" t="s">
        <v>38</v>
      </c>
      <c r="AY3" s="975"/>
      <c r="AZ3" s="975"/>
      <c r="BA3" s="976"/>
      <c r="BB3" s="979"/>
      <c r="BC3" s="980"/>
    </row>
    <row r="4" spans="2:55" ht="39" customHeight="1">
      <c r="B4" s="907"/>
      <c r="C4" s="907"/>
      <c r="D4" s="907"/>
      <c r="E4" s="907"/>
      <c r="F4" s="907"/>
      <c r="G4" s="907"/>
      <c r="H4" s="907"/>
      <c r="I4" s="907"/>
      <c r="J4" s="907"/>
      <c r="K4" s="907"/>
      <c r="M4" s="952"/>
      <c r="N4" s="957" t="s">
        <v>1108</v>
      </c>
      <c r="O4" s="947"/>
      <c r="P4" s="960" t="s">
        <v>20</v>
      </c>
      <c r="Q4" s="961"/>
      <c r="R4" s="960" t="s">
        <v>65</v>
      </c>
      <c r="S4" s="1000"/>
      <c r="T4" s="990" t="s">
        <v>1110</v>
      </c>
      <c r="U4" s="991"/>
      <c r="V4" s="993" t="s">
        <v>6</v>
      </c>
      <c r="W4" s="988"/>
      <c r="X4" s="960" t="s">
        <v>66</v>
      </c>
      <c r="Y4" s="988"/>
      <c r="Z4" s="947" t="s">
        <v>67</v>
      </c>
      <c r="AA4" s="948"/>
      <c r="AB4" s="973" t="s">
        <v>68</v>
      </c>
      <c r="AC4" s="948"/>
      <c r="AD4" s="973" t="s">
        <v>69</v>
      </c>
      <c r="AE4" s="948"/>
      <c r="AF4" s="973" t="s">
        <v>70</v>
      </c>
      <c r="AG4" s="948"/>
      <c r="AH4" s="973" t="s">
        <v>71</v>
      </c>
      <c r="AI4" s="947"/>
      <c r="AJ4" s="973" t="s">
        <v>72</v>
      </c>
      <c r="AK4" s="948"/>
      <c r="AL4" s="984" t="s">
        <v>73</v>
      </c>
      <c r="AM4" s="985"/>
      <c r="AN4" s="988" t="s">
        <v>74</v>
      </c>
      <c r="AO4" s="961"/>
      <c r="AP4" s="973" t="s">
        <v>75</v>
      </c>
      <c r="AQ4" s="948"/>
      <c r="AR4" s="986" t="s">
        <v>76</v>
      </c>
      <c r="AS4" s="987"/>
      <c r="AT4" s="965" t="s">
        <v>77</v>
      </c>
      <c r="AU4" s="965"/>
      <c r="AV4" s="965"/>
      <c r="AW4" s="965"/>
      <c r="AX4" s="969" t="s">
        <v>78</v>
      </c>
      <c r="AY4" s="969"/>
      <c r="AZ4" s="969"/>
      <c r="BA4" s="970"/>
      <c r="BB4" s="977"/>
      <c r="BC4" s="977"/>
    </row>
    <row r="5" spans="13:55" ht="30" customHeight="1">
      <c r="M5" s="953"/>
      <c r="N5" s="541" t="s">
        <v>1109</v>
      </c>
      <c r="O5" s="535" t="s">
        <v>1113</v>
      </c>
      <c r="P5" s="538" t="s">
        <v>1109</v>
      </c>
      <c r="Q5" s="535" t="s">
        <v>1113</v>
      </c>
      <c r="R5" s="538" t="s">
        <v>1109</v>
      </c>
      <c r="S5" s="540" t="s">
        <v>1113</v>
      </c>
      <c r="T5" s="540" t="s">
        <v>1109</v>
      </c>
      <c r="U5" s="540" t="s">
        <v>1113</v>
      </c>
      <c r="V5" s="540" t="s">
        <v>1109</v>
      </c>
      <c r="W5" s="546" t="s">
        <v>1113</v>
      </c>
      <c r="X5" s="540" t="s">
        <v>1109</v>
      </c>
      <c r="Y5" s="546" t="s">
        <v>1113</v>
      </c>
      <c r="Z5" s="548" t="s">
        <v>1109</v>
      </c>
      <c r="AA5" s="540" t="s">
        <v>1113</v>
      </c>
      <c r="AB5" s="540" t="s">
        <v>1109</v>
      </c>
      <c r="AC5" s="540" t="s">
        <v>1113</v>
      </c>
      <c r="AD5" s="540" t="s">
        <v>1109</v>
      </c>
      <c r="AE5" s="540" t="s">
        <v>1113</v>
      </c>
      <c r="AF5" s="540" t="s">
        <v>1109</v>
      </c>
      <c r="AG5" s="546" t="s">
        <v>1113</v>
      </c>
      <c r="AH5" s="540" t="s">
        <v>1109</v>
      </c>
      <c r="AI5" s="546" t="s">
        <v>1113</v>
      </c>
      <c r="AJ5" s="540" t="s">
        <v>1109</v>
      </c>
      <c r="AK5" s="540" t="s">
        <v>1113</v>
      </c>
      <c r="AL5" s="540" t="s">
        <v>1109</v>
      </c>
      <c r="AM5" s="546" t="s">
        <v>1113</v>
      </c>
      <c r="AN5" s="548" t="s">
        <v>1109</v>
      </c>
      <c r="AO5" s="540" t="s">
        <v>1113</v>
      </c>
      <c r="AP5" s="540" t="s">
        <v>1112</v>
      </c>
      <c r="AQ5" s="546" t="s">
        <v>1113</v>
      </c>
      <c r="AR5" s="540" t="s">
        <v>1112</v>
      </c>
      <c r="AS5" s="540" t="s">
        <v>1113</v>
      </c>
      <c r="AT5" s="966" t="s">
        <v>1109</v>
      </c>
      <c r="AU5" s="966"/>
      <c r="AV5" s="966" t="s">
        <v>1113</v>
      </c>
      <c r="AW5" s="966"/>
      <c r="AX5" s="966" t="s">
        <v>1112</v>
      </c>
      <c r="AY5" s="966"/>
      <c r="AZ5" s="966" t="s">
        <v>1113</v>
      </c>
      <c r="BA5" s="971"/>
      <c r="BB5" s="554"/>
      <c r="BC5" s="535"/>
    </row>
    <row r="6" spans="13:55" ht="30" customHeight="1" thickBot="1">
      <c r="M6" s="954"/>
      <c r="N6" s="542" t="s">
        <v>1117</v>
      </c>
      <c r="O6" s="537" t="s">
        <v>1114</v>
      </c>
      <c r="P6" s="539" t="s">
        <v>1117</v>
      </c>
      <c r="Q6" s="537" t="s">
        <v>1114</v>
      </c>
      <c r="R6" s="539" t="s">
        <v>1117</v>
      </c>
      <c r="S6" s="543" t="s">
        <v>1114</v>
      </c>
      <c r="T6" s="539" t="s">
        <v>1117</v>
      </c>
      <c r="U6" s="539" t="s">
        <v>1114</v>
      </c>
      <c r="V6" s="536" t="s">
        <v>1117</v>
      </c>
      <c r="W6" s="543" t="s">
        <v>1114</v>
      </c>
      <c r="X6" s="539" t="s">
        <v>1117</v>
      </c>
      <c r="Y6" s="543" t="s">
        <v>1114</v>
      </c>
      <c r="Z6" s="536" t="s">
        <v>1117</v>
      </c>
      <c r="AA6" s="539" t="s">
        <v>1114</v>
      </c>
      <c r="AB6" s="539" t="s">
        <v>1117</v>
      </c>
      <c r="AC6" s="539" t="s">
        <v>1114</v>
      </c>
      <c r="AD6" s="539" t="s">
        <v>1117</v>
      </c>
      <c r="AE6" s="539" t="s">
        <v>1114</v>
      </c>
      <c r="AF6" s="539" t="s">
        <v>1117</v>
      </c>
      <c r="AG6" s="539" t="s">
        <v>1114</v>
      </c>
      <c r="AH6" s="539" t="s">
        <v>1117</v>
      </c>
      <c r="AI6" s="543" t="s">
        <v>1114</v>
      </c>
      <c r="AJ6" s="539" t="s">
        <v>1117</v>
      </c>
      <c r="AK6" s="539" t="s">
        <v>1114</v>
      </c>
      <c r="AL6" s="539" t="s">
        <v>1117</v>
      </c>
      <c r="AM6" s="543" t="s">
        <v>1114</v>
      </c>
      <c r="AN6" s="536" t="s">
        <v>943</v>
      </c>
      <c r="AO6" s="543" t="s">
        <v>1114</v>
      </c>
      <c r="AP6" s="539" t="s">
        <v>1117</v>
      </c>
      <c r="AQ6" s="543" t="s">
        <v>1114</v>
      </c>
      <c r="AR6" s="539" t="s">
        <v>1117</v>
      </c>
      <c r="AS6" s="539" t="s">
        <v>1114</v>
      </c>
      <c r="AT6" s="967" t="s">
        <v>1117</v>
      </c>
      <c r="AU6" s="967"/>
      <c r="AV6" s="967" t="s">
        <v>1114</v>
      </c>
      <c r="AW6" s="967"/>
      <c r="AX6" s="967" t="s">
        <v>1117</v>
      </c>
      <c r="AY6" s="967"/>
      <c r="AZ6" s="967" t="s">
        <v>1114</v>
      </c>
      <c r="BA6" s="972"/>
      <c r="BB6" s="544"/>
      <c r="BC6" s="544"/>
    </row>
    <row r="7" spans="13:64" ht="30" customHeight="1">
      <c r="M7" s="556" t="s">
        <v>60</v>
      </c>
      <c r="N7" s="558">
        <f>P7+R7+T7+V7+X7+Z7+AB7+AD7+AF7+AH7+AJ7+AL7+AN7+AP7+AR7+AT7+AX7</f>
        <v>23389</v>
      </c>
      <c r="O7" s="559">
        <f>Q7+S7+U7+W7+Y7+AA7+AC7+AE7+AG7+AI7+AK7+AM7+AO7+AQ7+AS7+AV7+AZ7</f>
        <v>174262706.62899998</v>
      </c>
      <c r="P7" s="559">
        <f>1754+540</f>
        <v>2294</v>
      </c>
      <c r="Q7" s="559">
        <f>1103738.32+210999.383</f>
        <v>1314737.703</v>
      </c>
      <c r="R7" s="559">
        <f>36+138</f>
        <v>174</v>
      </c>
      <c r="S7" s="559">
        <f>2587098.253+1297620.654</f>
        <v>3884718.907</v>
      </c>
      <c r="T7" s="559">
        <f>1163+964</f>
        <v>2127</v>
      </c>
      <c r="U7" s="559">
        <f>31650575.908+14769966.842</f>
        <v>46420542.75</v>
      </c>
      <c r="V7" s="559">
        <f>5+10</f>
        <v>15</v>
      </c>
      <c r="W7" s="559">
        <f>330311.038+63085.153</f>
        <v>393396.191</v>
      </c>
      <c r="X7" s="559">
        <f>770+634</f>
        <v>1404</v>
      </c>
      <c r="Y7" s="559">
        <f>11590997.832+13810675.864</f>
        <v>25401673.696000002</v>
      </c>
      <c r="Z7" s="559">
        <f>5262+6195</f>
        <v>11457</v>
      </c>
      <c r="AA7" s="559">
        <f>23499762.289+45243335.43</f>
        <v>68743097.719</v>
      </c>
      <c r="AB7" s="559">
        <f>995+777</f>
        <v>1772</v>
      </c>
      <c r="AC7" s="559">
        <f>2082489.441+1394403.31</f>
        <v>3476892.751</v>
      </c>
      <c r="AD7" s="559">
        <f>335+404</f>
        <v>739</v>
      </c>
      <c r="AE7" s="559">
        <f>5296934.517+4438774.087</f>
        <v>9735708.604</v>
      </c>
      <c r="AF7" s="559">
        <f>48+66</f>
        <v>114</v>
      </c>
      <c r="AG7" s="559">
        <f>2462419.926+3789321.112</f>
        <v>6251741.038000001</v>
      </c>
      <c r="AH7" s="559">
        <f>270+303</f>
        <v>573</v>
      </c>
      <c r="AI7" s="559">
        <f>1447203.91+692406.919</f>
        <v>2139610.829</v>
      </c>
      <c r="AJ7" s="559">
        <f>197+233</f>
        <v>430</v>
      </c>
      <c r="AK7" s="559">
        <f>572267.116+534815.021</f>
        <v>1107082.137</v>
      </c>
      <c r="AL7" s="559">
        <f>1+3</f>
        <v>4</v>
      </c>
      <c r="AM7" s="559">
        <f>7260.7+806.4</f>
        <v>8067.099999999999</v>
      </c>
      <c r="AN7" s="559">
        <f>4+5</f>
        <v>9</v>
      </c>
      <c r="AO7" s="559">
        <f>1856.486+694.714</f>
        <v>2551.2000000000003</v>
      </c>
      <c r="AP7" s="559">
        <f>221+197</f>
        <v>418</v>
      </c>
      <c r="AQ7" s="559">
        <f>927982.323+389665.079</f>
        <v>1317647.402</v>
      </c>
      <c r="AR7" s="559">
        <f>862+979</f>
        <v>1841</v>
      </c>
      <c r="AS7" s="559">
        <f>1993868.58+1833060.769</f>
        <v>3826929.3490000004</v>
      </c>
      <c r="AT7" s="962">
        <f>0+1</f>
        <v>1</v>
      </c>
      <c r="AU7" s="962"/>
      <c r="AV7" s="962">
        <f>0+120</f>
        <v>120</v>
      </c>
      <c r="AW7" s="962"/>
      <c r="AX7" s="968">
        <f>5+12</f>
        <v>17</v>
      </c>
      <c r="AY7" s="968"/>
      <c r="AZ7" s="968">
        <f>144397.676+93791.577</f>
        <v>238189.25300000003</v>
      </c>
      <c r="BA7" s="968"/>
      <c r="BB7" s="90"/>
      <c r="BC7" s="90"/>
      <c r="BD7" s="90"/>
      <c r="BE7" s="90"/>
      <c r="BF7" s="90"/>
      <c r="BG7" s="90"/>
      <c r="BH7" s="90"/>
      <c r="BI7" s="90"/>
      <c r="BJ7" s="90"/>
      <c r="BK7" s="10"/>
      <c r="BL7" s="10"/>
    </row>
    <row r="8" spans="13:64" ht="30" customHeight="1">
      <c r="M8" s="556" t="s">
        <v>61</v>
      </c>
      <c r="N8" s="560">
        <f>P8+R8+T8+V8+X8+Z8+AB8+AD8+AF8+AH8+AJ8+AL8+AN8+AP8+AR8+AT8+AX8</f>
        <v>23995</v>
      </c>
      <c r="O8" s="559">
        <f>Q8+S8+U8+W8+Y8+AA8+AC8+AE8+AG8+AI8+AK8+AM8+AO8+AQ8+AS8+AV8+AZ8</f>
        <v>189081468.00899997</v>
      </c>
      <c r="P8" s="559">
        <f>543+1739</f>
        <v>2282</v>
      </c>
      <c r="Q8" s="559">
        <f>171594.449+1301818.196</f>
        <v>1473412.645</v>
      </c>
      <c r="R8" s="559">
        <f>36+142</f>
        <v>178</v>
      </c>
      <c r="S8" s="559">
        <f>1297500.085+2649209.204</f>
        <v>3946709.289</v>
      </c>
      <c r="T8" s="559">
        <f>935+1153</f>
        <v>2088</v>
      </c>
      <c r="U8" s="559">
        <f>15511525.228+30716183.196</f>
        <v>46227708.423999995</v>
      </c>
      <c r="V8" s="559">
        <f>4+9</f>
        <v>13</v>
      </c>
      <c r="W8" s="559">
        <f>38183.503+411939.433</f>
        <v>450122.936</v>
      </c>
      <c r="X8" s="559">
        <f>676+810</f>
        <v>1486</v>
      </c>
      <c r="Y8" s="559">
        <f>15108272.934+15184374.563</f>
        <v>30292647.497</v>
      </c>
      <c r="Z8" s="559">
        <f>5386+6312</f>
        <v>11698</v>
      </c>
      <c r="AA8" s="559">
        <f>49908882.455+26087091.526</f>
        <v>75995973.981</v>
      </c>
      <c r="AB8" s="559">
        <f>1134+815</f>
        <v>1949</v>
      </c>
      <c r="AC8" s="559">
        <f>1618903.296+2088388.323</f>
        <v>3707291.619</v>
      </c>
      <c r="AD8" s="559">
        <f>334+406</f>
        <v>740</v>
      </c>
      <c r="AE8" s="559">
        <f>4798534.187+6025649.82</f>
        <v>10824184.007</v>
      </c>
      <c r="AF8" s="559">
        <f>51+71</f>
        <v>122</v>
      </c>
      <c r="AG8" s="559">
        <f>3604015.61+2337964.353</f>
        <v>5941979.9629999995</v>
      </c>
      <c r="AH8" s="559">
        <f>300+341</f>
        <v>641</v>
      </c>
      <c r="AI8" s="559">
        <f>1062416.449+2204546.831</f>
        <v>3266963.28</v>
      </c>
      <c r="AJ8" s="559">
        <f>193+236</f>
        <v>429</v>
      </c>
      <c r="AK8" s="559">
        <f>639748.618+439225.093</f>
        <v>1078973.7110000001</v>
      </c>
      <c r="AL8" s="559">
        <f>1+3</f>
        <v>4</v>
      </c>
      <c r="AM8" s="559">
        <f>806.4+9728.446</f>
        <v>10534.846</v>
      </c>
      <c r="AN8" s="559">
        <f>4+5</f>
        <v>9</v>
      </c>
      <c r="AO8" s="559">
        <f>1865.302+949.581</f>
        <v>2814.883</v>
      </c>
      <c r="AP8" s="559">
        <f>198+228</f>
        <v>426</v>
      </c>
      <c r="AQ8" s="559">
        <f>929239.362+378770.928</f>
        <v>1308010.29</v>
      </c>
      <c r="AR8" s="559">
        <f>920+985</f>
        <v>1905</v>
      </c>
      <c r="AS8" s="559">
        <f>2265581.812+2016959.995</f>
        <v>4282541.807</v>
      </c>
      <c r="AT8" s="962">
        <f>0+1</f>
        <v>1</v>
      </c>
      <c r="AU8" s="962"/>
      <c r="AV8" s="962">
        <f>0+720</f>
        <v>720</v>
      </c>
      <c r="AW8" s="962"/>
      <c r="AX8" s="962">
        <f>8+16</f>
        <v>24</v>
      </c>
      <c r="AY8" s="962"/>
      <c r="AZ8" s="962">
        <f>26447.896+244430.935</f>
        <v>270878.831</v>
      </c>
      <c r="BA8" s="962"/>
      <c r="BB8" s="90"/>
      <c r="BC8" s="90"/>
      <c r="BD8" s="90"/>
      <c r="BE8" s="90"/>
      <c r="BF8" s="90"/>
      <c r="BG8" s="90"/>
      <c r="BH8" s="90"/>
      <c r="BI8" s="90"/>
      <c r="BJ8" s="90"/>
      <c r="BK8" s="10"/>
      <c r="BL8" s="10"/>
    </row>
    <row r="9" spans="13:64" ht="30" customHeight="1">
      <c r="M9" s="557" t="s">
        <v>62</v>
      </c>
      <c r="N9" s="560">
        <f>P9+R9+T9+V9+X9+Z9+AB9+AD9+AF9+AH9+AJ9+AL9+AN9+AP9+AR9+AT9+AX9</f>
        <v>24703</v>
      </c>
      <c r="O9" s="559">
        <f>Q9+S9+U9+W9+Y9+AA9+AC9+AE9+AG9+AI9+AK9+AM9+AO9+AQ9+AS9+AV9+AZ9</f>
        <v>200364244.95999998</v>
      </c>
      <c r="P9" s="559">
        <f>549+1754</f>
        <v>2303</v>
      </c>
      <c r="Q9" s="559">
        <f>462761.896+1119880.544</f>
        <v>1582642.44</v>
      </c>
      <c r="R9" s="559">
        <f>41+151</f>
        <v>192</v>
      </c>
      <c r="S9" s="559">
        <f>1531858.316+2910952.86</f>
        <v>4442811.176</v>
      </c>
      <c r="T9" s="559">
        <f>912+1162</f>
        <v>2074</v>
      </c>
      <c r="U9" s="559">
        <f>14946955.647+31363495.186</f>
        <v>46310450.833000004</v>
      </c>
      <c r="V9" s="559">
        <f>9+5</f>
        <v>14</v>
      </c>
      <c r="W9" s="559">
        <f>109482.702+430611.855</f>
        <v>540094.557</v>
      </c>
      <c r="X9" s="559">
        <f>782+861</f>
        <v>1643</v>
      </c>
      <c r="Y9" s="559">
        <f>16336886.363+17588851.687</f>
        <v>33925738.05</v>
      </c>
      <c r="Z9" s="559">
        <f>5515+6549</f>
        <v>12064</v>
      </c>
      <c r="AA9" s="559">
        <f>28008993.852+53085620.153</f>
        <v>81094614.005</v>
      </c>
      <c r="AB9" s="559">
        <f>832+1148</f>
        <v>1980</v>
      </c>
      <c r="AC9" s="559">
        <f>2590607.382+1736932.334</f>
        <v>4327539.716</v>
      </c>
      <c r="AD9" s="559">
        <f>341+401</f>
        <v>742</v>
      </c>
      <c r="AE9" s="559">
        <f>5949023.278+5228351.073</f>
        <v>11177374.351</v>
      </c>
      <c r="AF9" s="559">
        <f>50+74</f>
        <v>124</v>
      </c>
      <c r="AG9" s="559">
        <f>3505145.245+2476542.774</f>
        <v>5981688.019</v>
      </c>
      <c r="AH9" s="559">
        <f>318+362</f>
        <v>680</v>
      </c>
      <c r="AI9" s="559">
        <f>2423603.47+1423700.611</f>
        <v>3847304.0810000002</v>
      </c>
      <c r="AJ9" s="559">
        <f>210+255</f>
        <v>465</v>
      </c>
      <c r="AK9" s="559">
        <f>589914.706+354520.711</f>
        <v>944435.417</v>
      </c>
      <c r="AL9" s="559">
        <f>1+4</f>
        <v>5</v>
      </c>
      <c r="AM9" s="559">
        <f>9414.32+1239.126</f>
        <v>10653.446</v>
      </c>
      <c r="AN9" s="559">
        <f>3+4</f>
        <v>7</v>
      </c>
      <c r="AO9" s="559">
        <f>1751.865+543.781</f>
        <v>2295.6459999999997</v>
      </c>
      <c r="AP9" s="559">
        <f>208+237</f>
        <v>445</v>
      </c>
      <c r="AQ9" s="559">
        <f>372407.534+936524.583</f>
        <v>1308932.117</v>
      </c>
      <c r="AR9" s="559">
        <f>932+1009</f>
        <v>1941</v>
      </c>
      <c r="AS9" s="559">
        <f>2196780.469+2431503.548</f>
        <v>4628284.017</v>
      </c>
      <c r="AT9" s="962">
        <f>1</f>
        <v>1</v>
      </c>
      <c r="AU9" s="962"/>
      <c r="AV9" s="962">
        <f>720</f>
        <v>720</v>
      </c>
      <c r="AW9" s="962"/>
      <c r="AX9" s="962">
        <f>7+16</f>
        <v>23</v>
      </c>
      <c r="AY9" s="962"/>
      <c r="AZ9" s="962">
        <f>85435.474+153231.615</f>
        <v>238667.08899999998</v>
      </c>
      <c r="BA9" s="962"/>
      <c r="BB9" s="90"/>
      <c r="BC9" s="90"/>
      <c r="BD9" s="90"/>
      <c r="BE9" s="90"/>
      <c r="BF9" s="90"/>
      <c r="BG9" s="90"/>
      <c r="BH9" s="90"/>
      <c r="BI9" s="90"/>
      <c r="BJ9" s="90"/>
      <c r="BK9" s="10"/>
      <c r="BL9" s="10"/>
    </row>
    <row r="10" spans="13:64" ht="30" customHeight="1">
      <c r="M10" s="557" t="s">
        <v>63</v>
      </c>
      <c r="N10" s="560">
        <f>P10+R10+T10+V10+X10+Z10+AB10+AD10+AF10+AH10+AJ10+AL10+AN10+AP10+AR10+AT10+AX10</f>
        <v>24971</v>
      </c>
      <c r="O10" s="559">
        <f>Q10+S10+U10+W10+Y10+AA10+AC10+AE10+AG10+AI10+AK10+AM10+AO10+AQ10+AS10+AV10+AZ10</f>
        <v>205427549.494</v>
      </c>
      <c r="P10" s="559">
        <f>550+1763</f>
        <v>2313</v>
      </c>
      <c r="Q10" s="559">
        <f>174898.232+874975.618</f>
        <v>1049873.85</v>
      </c>
      <c r="R10" s="559">
        <f>43+147</f>
        <v>190</v>
      </c>
      <c r="S10" s="559">
        <f>2149051.161+2885735.246</f>
        <v>5034786.407</v>
      </c>
      <c r="T10" s="559">
        <f>894+1169</f>
        <v>2063</v>
      </c>
      <c r="U10" s="559">
        <f>15099734.91+36950677.093</f>
        <v>52050412.003000006</v>
      </c>
      <c r="V10" s="559">
        <f>4+10</f>
        <v>14</v>
      </c>
      <c r="W10" s="559">
        <f>445943.993+109912.386</f>
        <v>555856.379</v>
      </c>
      <c r="X10" s="559">
        <f>884+950</f>
        <v>1834</v>
      </c>
      <c r="Y10" s="559">
        <f>15773670.467+10118568.263</f>
        <v>25892238.73</v>
      </c>
      <c r="Z10" s="559">
        <f>5517+6519</f>
        <v>12036</v>
      </c>
      <c r="AA10" s="559">
        <f>53241959.913+28409653.315</f>
        <v>81651613.228</v>
      </c>
      <c r="AB10" s="559">
        <f>1133+889</f>
        <v>2022</v>
      </c>
      <c r="AC10" s="559">
        <f>2066046.532+2937598.766</f>
        <v>5003645.2979999995</v>
      </c>
      <c r="AD10" s="559">
        <f>352+408</f>
        <v>760</v>
      </c>
      <c r="AE10" s="559">
        <f>6833683.258+5483454.937</f>
        <v>12317138.195</v>
      </c>
      <c r="AF10" s="559">
        <f>49+79</f>
        <v>128</v>
      </c>
      <c r="AG10" s="559">
        <f>7304155.032+2735066.468</f>
        <v>10039221.5</v>
      </c>
      <c r="AH10" s="559">
        <f>315+376</f>
        <v>691</v>
      </c>
      <c r="AI10" s="559">
        <f>2683592.465+1626606.961</f>
        <v>4310199.426</v>
      </c>
      <c r="AJ10" s="559">
        <f>202+261</f>
        <v>463</v>
      </c>
      <c r="AK10" s="559">
        <f>656353.885+360360.71</f>
        <v>1016714.595</v>
      </c>
      <c r="AL10" s="559">
        <f>1+4</f>
        <v>5</v>
      </c>
      <c r="AM10" s="559">
        <f>9283.65+1005.656</f>
        <v>10289.306</v>
      </c>
      <c r="AN10" s="559">
        <f>4+4</f>
        <v>8</v>
      </c>
      <c r="AO10" s="559">
        <f>10.476+1940.819</f>
        <v>1951.295</v>
      </c>
      <c r="AP10" s="559">
        <f>232+281</f>
        <v>513</v>
      </c>
      <c r="AQ10" s="559">
        <f>392156.679+917102.814</f>
        <v>1309259.493</v>
      </c>
      <c r="AR10" s="559">
        <f>924+992</f>
        <v>1916</v>
      </c>
      <c r="AS10" s="559">
        <f>2297020.66+2456275.785</f>
        <v>4753296.445</v>
      </c>
      <c r="AT10" s="962">
        <f>1</f>
        <v>1</v>
      </c>
      <c r="AU10" s="962"/>
      <c r="AV10" s="962">
        <f>720</f>
        <v>720</v>
      </c>
      <c r="AW10" s="962"/>
      <c r="AX10" s="962">
        <f>7+7</f>
        <v>14</v>
      </c>
      <c r="AY10" s="962"/>
      <c r="AZ10" s="962">
        <f>252778.981+177554.363</f>
        <v>430333.34400000004</v>
      </c>
      <c r="BA10" s="962"/>
      <c r="BB10" s="90"/>
      <c r="BC10" s="90"/>
      <c r="BD10" s="90"/>
      <c r="BE10" s="90"/>
      <c r="BF10" s="90"/>
      <c r="BG10" s="90"/>
      <c r="BH10" s="90"/>
      <c r="BI10" s="90"/>
      <c r="BJ10" s="90"/>
      <c r="BK10" s="10"/>
      <c r="BL10" s="10"/>
    </row>
    <row r="11" spans="13:64" ht="30" customHeight="1" thickBot="1">
      <c r="M11" s="557" t="s">
        <v>64</v>
      </c>
      <c r="N11" s="560">
        <f>P11+R11+T11+V11+X11+Z11+AB11+AD11+AF11+AH11+AJ11+AL11+AN11+AP11+AR11+AT11+AX11</f>
        <v>24937</v>
      </c>
      <c r="O11" s="559">
        <f>Q11+S11+U11+W11+Y11+AA11+AC11+AE11+AG11+AI11+AK11+AM11+AO11+AQ11+AS11+AV11+AZ11</f>
        <v>213198752.85200003</v>
      </c>
      <c r="P11" s="559">
        <f>548+1760</f>
        <v>2308</v>
      </c>
      <c r="Q11" s="559">
        <f>241464.475+779121.861</f>
        <v>1020586.336</v>
      </c>
      <c r="R11" s="561">
        <f>43+154</f>
        <v>197</v>
      </c>
      <c r="S11" s="561">
        <f>2441739.173+3694476.388</f>
        <v>6136215.561</v>
      </c>
      <c r="T11" s="559">
        <f>836+1160</f>
        <v>1996</v>
      </c>
      <c r="U11" s="559">
        <f>41260514.784+15398318.862</f>
        <v>56658833.646</v>
      </c>
      <c r="V11" s="559">
        <f>3+11</f>
        <v>14</v>
      </c>
      <c r="W11" s="559">
        <f>110779.615+469771.315</f>
        <v>580550.93</v>
      </c>
      <c r="X11" s="559">
        <f>930+970</f>
        <v>1900</v>
      </c>
      <c r="Y11" s="559">
        <f>11104696.556+16935725.178</f>
        <v>28040421.733999997</v>
      </c>
      <c r="Z11" s="559">
        <f>5525+6437</f>
        <v>11962</v>
      </c>
      <c r="AA11" s="559">
        <f>54330064.31+29987655.196</f>
        <v>84317719.506</v>
      </c>
      <c r="AB11" s="559">
        <f>1146+935</f>
        <v>2081</v>
      </c>
      <c r="AC11" s="559">
        <f>2174861.242+3137237.619</f>
        <v>5312098.861</v>
      </c>
      <c r="AD11" s="559">
        <f>336+409</f>
        <v>745</v>
      </c>
      <c r="AE11" s="559">
        <f>6125256.827+5588214.013</f>
        <v>11713470.84</v>
      </c>
      <c r="AF11" s="559">
        <f>48+84</f>
        <v>132</v>
      </c>
      <c r="AG11" s="559">
        <f>4940238.231+3068580.544</f>
        <v>8008818.775</v>
      </c>
      <c r="AH11" s="559">
        <f>309+367</f>
        <v>676</v>
      </c>
      <c r="AI11" s="559">
        <f>2821349.296+1367497.173</f>
        <v>4188846.469</v>
      </c>
      <c r="AJ11" s="559">
        <f>229+257</f>
        <v>486</v>
      </c>
      <c r="AK11" s="559">
        <f>1034757.493+417023.514</f>
        <v>1451781.007</v>
      </c>
      <c r="AL11" s="559">
        <f>1+3</f>
        <v>4</v>
      </c>
      <c r="AM11" s="559">
        <f>760.864+13650.353</f>
        <v>14411.216999999999</v>
      </c>
      <c r="AN11" s="559">
        <f>3+5</f>
        <v>8</v>
      </c>
      <c r="AO11" s="559">
        <f>1590.655+3110.191</f>
        <v>4700.846</v>
      </c>
      <c r="AP11" s="559">
        <f>216+249</f>
        <v>465</v>
      </c>
      <c r="AQ11" s="559">
        <f>452597.646+299307.328</f>
        <v>751904.9739999999</v>
      </c>
      <c r="AR11" s="559">
        <f>934+1019</f>
        <v>1953</v>
      </c>
      <c r="AS11" s="559">
        <f>2289878.31+2566558.085</f>
        <v>4856436.395</v>
      </c>
      <c r="AT11" s="963">
        <f>0</f>
        <v>0</v>
      </c>
      <c r="AU11" s="963"/>
      <c r="AV11" s="963">
        <f>1000</f>
        <v>1000</v>
      </c>
      <c r="AW11" s="963"/>
      <c r="AX11" s="963">
        <f>2+8</f>
        <v>10</v>
      </c>
      <c r="AY11" s="963"/>
      <c r="AZ11" s="963">
        <f>103590.647+37365.108</f>
        <v>140955.755</v>
      </c>
      <c r="BA11" s="963"/>
      <c r="BB11" s="90"/>
      <c r="BC11" s="90"/>
      <c r="BD11" s="90"/>
      <c r="BE11" s="90"/>
      <c r="BF11" s="90"/>
      <c r="BG11" s="90"/>
      <c r="BH11" s="90"/>
      <c r="BI11" s="90"/>
      <c r="BJ11" s="90"/>
      <c r="BK11" s="10"/>
      <c r="BL11" s="10"/>
    </row>
    <row r="12" spans="13:61" ht="30" customHeight="1">
      <c r="M12" s="951" t="s">
        <v>12</v>
      </c>
      <c r="N12" s="955" t="s">
        <v>39</v>
      </c>
      <c r="O12" s="956"/>
      <c r="P12" s="958" t="s">
        <v>40</v>
      </c>
      <c r="Q12" s="959"/>
      <c r="R12" s="958" t="s">
        <v>41</v>
      </c>
      <c r="S12" s="959"/>
      <c r="T12" s="945" t="s">
        <v>42</v>
      </c>
      <c r="U12" s="989"/>
      <c r="V12" s="992" t="s">
        <v>43</v>
      </c>
      <c r="W12" s="956"/>
      <c r="X12" s="958" t="s">
        <v>44</v>
      </c>
      <c r="Y12" s="956"/>
      <c r="Z12" s="945" t="s">
        <v>45</v>
      </c>
      <c r="AA12" s="946"/>
      <c r="AB12" s="958" t="s">
        <v>46</v>
      </c>
      <c r="AC12" s="959"/>
      <c r="AD12" s="945" t="s">
        <v>47</v>
      </c>
      <c r="AE12" s="956"/>
      <c r="AF12" s="958" t="s">
        <v>48</v>
      </c>
      <c r="AG12" s="956"/>
      <c r="AH12" s="958" t="s">
        <v>49</v>
      </c>
      <c r="AI12" s="956"/>
      <c r="AJ12" s="958" t="s">
        <v>50</v>
      </c>
      <c r="AK12" s="946"/>
      <c r="AL12" s="982" t="s">
        <v>51</v>
      </c>
      <c r="AM12" s="983"/>
      <c r="AN12" s="945" t="s">
        <v>52</v>
      </c>
      <c r="AO12" s="989"/>
      <c r="AP12" s="992" t="s">
        <v>53</v>
      </c>
      <c r="AQ12" s="956"/>
      <c r="AR12" s="958" t="s">
        <v>54</v>
      </c>
      <c r="AS12" s="959"/>
      <c r="AT12" s="992" t="s">
        <v>55</v>
      </c>
      <c r="AU12" s="959"/>
      <c r="AV12" s="945" t="s">
        <v>56</v>
      </c>
      <c r="AW12" s="959"/>
      <c r="AX12" s="976" t="s">
        <v>57</v>
      </c>
      <c r="AY12" s="1001"/>
      <c r="AZ12" s="976" t="s">
        <v>58</v>
      </c>
      <c r="BA12" s="1001"/>
      <c r="BB12" s="9"/>
      <c r="BC12" s="9"/>
      <c r="BD12" s="9"/>
      <c r="BE12" s="9"/>
      <c r="BF12" s="9"/>
      <c r="BG12" s="9"/>
      <c r="BH12" s="9"/>
      <c r="BI12" s="9"/>
    </row>
    <row r="13" spans="13:64" ht="39" customHeight="1">
      <c r="M13" s="952"/>
      <c r="N13" s="957" t="s">
        <v>1108</v>
      </c>
      <c r="O13" s="947"/>
      <c r="P13" s="960" t="s">
        <v>79</v>
      </c>
      <c r="Q13" s="961"/>
      <c r="R13" s="960" t="s">
        <v>80</v>
      </c>
      <c r="S13" s="1000"/>
      <c r="T13" s="990" t="s">
        <v>1110</v>
      </c>
      <c r="U13" s="991"/>
      <c r="V13" s="1002" t="s">
        <v>81</v>
      </c>
      <c r="W13" s="990"/>
      <c r="X13" s="1003" t="s">
        <v>82</v>
      </c>
      <c r="Y13" s="990"/>
      <c r="Z13" s="1004" t="s">
        <v>1111</v>
      </c>
      <c r="AA13" s="1005"/>
      <c r="AB13" s="973" t="s">
        <v>83</v>
      </c>
      <c r="AC13" s="948"/>
      <c r="AD13" s="1004" t="s">
        <v>84</v>
      </c>
      <c r="AE13" s="1004"/>
      <c r="AF13" s="973" t="s">
        <v>85</v>
      </c>
      <c r="AG13" s="947"/>
      <c r="AH13" s="1006" t="s">
        <v>86</v>
      </c>
      <c r="AI13" s="1004"/>
      <c r="AJ13" s="1006" t="s">
        <v>87</v>
      </c>
      <c r="AK13" s="1005"/>
      <c r="AL13" s="984" t="s">
        <v>88</v>
      </c>
      <c r="AM13" s="921"/>
      <c r="AN13" s="990" t="s">
        <v>89</v>
      </c>
      <c r="AO13" s="991"/>
      <c r="AP13" s="1003" t="s">
        <v>90</v>
      </c>
      <c r="AQ13" s="990"/>
      <c r="AR13" s="1003" t="s">
        <v>91</v>
      </c>
      <c r="AS13" s="1000"/>
      <c r="AT13" s="1002" t="s">
        <v>93</v>
      </c>
      <c r="AU13" s="1000"/>
      <c r="AV13" s="1004" t="s">
        <v>94</v>
      </c>
      <c r="AW13" s="1005"/>
      <c r="AX13" s="970" t="s">
        <v>95</v>
      </c>
      <c r="AY13" s="977"/>
      <c r="AZ13" s="970" t="s">
        <v>96</v>
      </c>
      <c r="BA13" s="977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</row>
    <row r="14" spans="13:53" ht="30" customHeight="1">
      <c r="M14" s="953"/>
      <c r="N14" s="541" t="s">
        <v>1109</v>
      </c>
      <c r="O14" s="535" t="s">
        <v>1113</v>
      </c>
      <c r="P14" s="538" t="s">
        <v>1109</v>
      </c>
      <c r="Q14" s="535" t="s">
        <v>1113</v>
      </c>
      <c r="R14" s="538" t="s">
        <v>1109</v>
      </c>
      <c r="S14" s="540" t="s">
        <v>1113</v>
      </c>
      <c r="T14" s="540" t="s">
        <v>1109</v>
      </c>
      <c r="U14" s="540" t="s">
        <v>1113</v>
      </c>
      <c r="V14" s="540" t="s">
        <v>1109</v>
      </c>
      <c r="W14" s="546" t="s">
        <v>1113</v>
      </c>
      <c r="X14" s="540" t="s">
        <v>1109</v>
      </c>
      <c r="Y14" s="546" t="s">
        <v>1113</v>
      </c>
      <c r="Z14" s="548" t="s">
        <v>1109</v>
      </c>
      <c r="AA14" s="540" t="s">
        <v>1113</v>
      </c>
      <c r="AB14" s="540" t="s">
        <v>1109</v>
      </c>
      <c r="AC14" s="540" t="s">
        <v>1113</v>
      </c>
      <c r="AD14" s="540" t="s">
        <v>1109</v>
      </c>
      <c r="AE14" s="540" t="s">
        <v>1113</v>
      </c>
      <c r="AF14" s="540" t="s">
        <v>1109</v>
      </c>
      <c r="AG14" s="546" t="s">
        <v>1113</v>
      </c>
      <c r="AH14" s="540" t="s">
        <v>1109</v>
      </c>
      <c r="AI14" s="546" t="s">
        <v>1113</v>
      </c>
      <c r="AJ14" s="540" t="s">
        <v>1109</v>
      </c>
      <c r="AK14" s="540" t="s">
        <v>1113</v>
      </c>
      <c r="AL14" s="540" t="s">
        <v>1109</v>
      </c>
      <c r="AM14" s="546" t="s">
        <v>1113</v>
      </c>
      <c r="AN14" s="548" t="s">
        <v>1109</v>
      </c>
      <c r="AO14" s="540" t="s">
        <v>1113</v>
      </c>
      <c r="AP14" s="540" t="s">
        <v>1112</v>
      </c>
      <c r="AQ14" s="546" t="s">
        <v>1113</v>
      </c>
      <c r="AR14" s="540" t="s">
        <v>1112</v>
      </c>
      <c r="AS14" s="540" t="s">
        <v>1113</v>
      </c>
      <c r="AT14" s="540" t="s">
        <v>1112</v>
      </c>
      <c r="AU14" s="540" t="s">
        <v>1113</v>
      </c>
      <c r="AV14" s="540" t="s">
        <v>1109</v>
      </c>
      <c r="AW14" s="540" t="s">
        <v>1113</v>
      </c>
      <c r="AX14" s="545" t="s">
        <v>1109</v>
      </c>
      <c r="AY14" s="540" t="s">
        <v>1113</v>
      </c>
      <c r="AZ14" s="545" t="s">
        <v>1109</v>
      </c>
      <c r="BA14" s="546" t="s">
        <v>1113</v>
      </c>
    </row>
    <row r="15" spans="13:53" ht="30" customHeight="1" thickBot="1">
      <c r="M15" s="954"/>
      <c r="N15" s="542" t="s">
        <v>1117</v>
      </c>
      <c r="O15" s="537" t="s">
        <v>1114</v>
      </c>
      <c r="P15" s="539" t="s">
        <v>1117</v>
      </c>
      <c r="Q15" s="537" t="s">
        <v>1114</v>
      </c>
      <c r="R15" s="539" t="s">
        <v>1117</v>
      </c>
      <c r="S15" s="543" t="s">
        <v>1114</v>
      </c>
      <c r="T15" s="539" t="s">
        <v>1117</v>
      </c>
      <c r="U15" s="539" t="s">
        <v>1114</v>
      </c>
      <c r="V15" s="536" t="s">
        <v>1117</v>
      </c>
      <c r="W15" s="543" t="s">
        <v>1114</v>
      </c>
      <c r="X15" s="539" t="s">
        <v>1117</v>
      </c>
      <c r="Y15" s="543" t="s">
        <v>1114</v>
      </c>
      <c r="Z15" s="536" t="s">
        <v>1117</v>
      </c>
      <c r="AA15" s="539" t="s">
        <v>1114</v>
      </c>
      <c r="AB15" s="539" t="s">
        <v>1117</v>
      </c>
      <c r="AC15" s="539" t="s">
        <v>1114</v>
      </c>
      <c r="AD15" s="539" t="s">
        <v>1117</v>
      </c>
      <c r="AE15" s="539" t="s">
        <v>1114</v>
      </c>
      <c r="AF15" s="539" t="s">
        <v>1117</v>
      </c>
      <c r="AG15" s="539" t="s">
        <v>1114</v>
      </c>
      <c r="AH15" s="539" t="s">
        <v>1117</v>
      </c>
      <c r="AI15" s="543" t="s">
        <v>1114</v>
      </c>
      <c r="AJ15" s="539" t="s">
        <v>1117</v>
      </c>
      <c r="AK15" s="539" t="s">
        <v>1114</v>
      </c>
      <c r="AL15" s="539" t="s">
        <v>1117</v>
      </c>
      <c r="AM15" s="543" t="s">
        <v>1114</v>
      </c>
      <c r="AN15" s="536" t="s">
        <v>1117</v>
      </c>
      <c r="AO15" s="543" t="s">
        <v>1114</v>
      </c>
      <c r="AP15" s="539" t="s">
        <v>1117</v>
      </c>
      <c r="AQ15" s="543" t="s">
        <v>1114</v>
      </c>
      <c r="AR15" s="539" t="s">
        <v>1117</v>
      </c>
      <c r="AS15" s="539" t="s">
        <v>1114</v>
      </c>
      <c r="AT15" s="539" t="s">
        <v>1117</v>
      </c>
      <c r="AU15" s="539" t="s">
        <v>1114</v>
      </c>
      <c r="AV15" s="539" t="s">
        <v>1117</v>
      </c>
      <c r="AW15" s="539" t="s">
        <v>1114</v>
      </c>
      <c r="AX15" s="536" t="s">
        <v>1117</v>
      </c>
      <c r="AY15" s="539" t="s">
        <v>1114</v>
      </c>
      <c r="AZ15" s="536" t="s">
        <v>1117</v>
      </c>
      <c r="BA15" s="543" t="s">
        <v>1114</v>
      </c>
    </row>
    <row r="16" spans="13:64" ht="30" customHeight="1">
      <c r="M16" s="557" t="s">
        <v>14</v>
      </c>
      <c r="N16" s="560">
        <f aca="true" t="shared" si="0" ref="N16:O21">P16+R16+T16+V16+X16+Z16+AB16+AD16+AF16+AH16+AJ16+AL16+AN16+AP16+AR16+AT16+AV16+AX16+AZ16</f>
        <v>24399</v>
      </c>
      <c r="O16" s="559">
        <f t="shared" si="0"/>
        <v>222042395.51899996</v>
      </c>
      <c r="P16" s="559">
        <f>458+1745</f>
        <v>2203</v>
      </c>
      <c r="Q16" s="559">
        <f>282270.937+808142.369</f>
        <v>1090413.3059999999</v>
      </c>
      <c r="R16" s="561">
        <f>40+160</f>
        <v>200</v>
      </c>
      <c r="S16" s="561">
        <f>4062469.966+2058055.164</f>
        <v>6120525.13</v>
      </c>
      <c r="T16" s="559">
        <f>837+1221</f>
        <v>2058</v>
      </c>
      <c r="U16" s="559">
        <f>47680616.152+15619320.632</f>
        <v>63299936.784</v>
      </c>
      <c r="V16" s="559">
        <f>4+9</f>
        <v>13</v>
      </c>
      <c r="W16" s="559">
        <f>136039.86+119341.483</f>
        <v>255381.343</v>
      </c>
      <c r="X16" s="559">
        <f>45+47</f>
        <v>92</v>
      </c>
      <c r="Y16" s="559">
        <f>482732.503+378961.694</f>
        <v>861694.197</v>
      </c>
      <c r="Z16" s="559">
        <f>942+943</f>
        <v>1885</v>
      </c>
      <c r="AA16" s="559">
        <f>12200746.393+15157838.053</f>
        <v>27358584.446</v>
      </c>
      <c r="AB16" s="559">
        <f>5326+6289</f>
        <v>11615</v>
      </c>
      <c r="AC16" s="559">
        <f>57754076.015+29876348.008</f>
        <v>87630424.023</v>
      </c>
      <c r="AD16" s="561">
        <f>309+400</f>
        <v>709</v>
      </c>
      <c r="AE16" s="561">
        <f>5812152.122+2693752.74</f>
        <v>8505904.862</v>
      </c>
      <c r="AF16" s="559">
        <f>1157+954</f>
        <v>2111</v>
      </c>
      <c r="AG16" s="559">
        <f>2362460.213+3307781.471</f>
        <v>5670241.684</v>
      </c>
      <c r="AH16" s="559">
        <f>72+48</f>
        <v>120</v>
      </c>
      <c r="AI16" s="559">
        <f>2697925.838+226547.416</f>
        <v>2924473.254</v>
      </c>
      <c r="AJ16" s="559">
        <f>93+49</f>
        <v>142</v>
      </c>
      <c r="AK16" s="559">
        <f>3382363.729+4890136.36</f>
        <v>8272500.089</v>
      </c>
      <c r="AL16" s="559">
        <f>148+189</f>
        <v>337</v>
      </c>
      <c r="AM16" s="559">
        <f>1420389.377+1515733.082</f>
        <v>2936122.459</v>
      </c>
      <c r="AN16" s="559">
        <f>222+220</f>
        <v>442</v>
      </c>
      <c r="AO16" s="559">
        <f>1004324.596+485370.398</f>
        <v>1489694.994</v>
      </c>
      <c r="AP16" s="559">
        <f>267+270</f>
        <v>537</v>
      </c>
      <c r="AQ16" s="559">
        <f>732381.58+1055645.253</f>
        <v>1788026.833</v>
      </c>
      <c r="AR16" s="559">
        <f>3+5</f>
        <v>8</v>
      </c>
      <c r="AS16" s="559">
        <f>16361.355+1255.302</f>
        <v>17616.657</v>
      </c>
      <c r="AT16" s="559">
        <f>1+4</f>
        <v>5</v>
      </c>
      <c r="AU16" s="559">
        <f>2388</f>
        <v>2388</v>
      </c>
      <c r="AV16" s="559">
        <f>218+217</f>
        <v>435</v>
      </c>
      <c r="AW16" s="559">
        <f>278478.604+417336.943</f>
        <v>695815.547</v>
      </c>
      <c r="AX16" s="559">
        <f>698+789</f>
        <v>1487</v>
      </c>
      <c r="AY16" s="559">
        <f>1692194.488+1349938.055</f>
        <v>3042132.5429999996</v>
      </c>
      <c r="AZ16" s="559">
        <f>0</f>
        <v>0</v>
      </c>
      <c r="BA16" s="559">
        <f>71469.478+9049.89</f>
        <v>80519.368</v>
      </c>
      <c r="BB16" s="559"/>
      <c r="BC16" s="559"/>
      <c r="BD16" s="559"/>
      <c r="BE16" s="559"/>
      <c r="BF16" s="206"/>
      <c r="BG16" s="206"/>
      <c r="BH16" s="206"/>
      <c r="BI16" s="206"/>
      <c r="BJ16" s="206"/>
      <c r="BK16" s="206"/>
      <c r="BL16" s="206"/>
    </row>
    <row r="17" spans="13:64" ht="30" customHeight="1">
      <c r="M17" s="557" t="s">
        <v>15</v>
      </c>
      <c r="N17" s="559">
        <f>N21</f>
        <v>24647</v>
      </c>
      <c r="O17" s="559">
        <f aca="true" t="shared" si="1" ref="O17:BA17">SUM(O18:O21)</f>
        <v>206074443.14900005</v>
      </c>
      <c r="P17" s="559">
        <f>P21</f>
        <v>2180</v>
      </c>
      <c r="Q17" s="559">
        <f t="shared" si="1"/>
        <v>1132582.841</v>
      </c>
      <c r="R17" s="559">
        <f>R21</f>
        <v>197</v>
      </c>
      <c r="S17" s="559">
        <f t="shared" si="1"/>
        <v>5209474.431</v>
      </c>
      <c r="T17" s="559">
        <f>T21</f>
        <v>2063</v>
      </c>
      <c r="U17" s="559">
        <f t="shared" si="1"/>
        <v>53704941.56</v>
      </c>
      <c r="V17" s="559">
        <f>V21</f>
        <v>14</v>
      </c>
      <c r="W17" s="559">
        <f t="shared" si="1"/>
        <v>219198.019</v>
      </c>
      <c r="X17" s="559">
        <f>X21</f>
        <v>91</v>
      </c>
      <c r="Y17" s="559">
        <f t="shared" si="1"/>
        <v>904973.121</v>
      </c>
      <c r="Z17" s="559">
        <f>Z21</f>
        <v>1980</v>
      </c>
      <c r="AA17" s="559">
        <f t="shared" si="1"/>
        <v>26280697.123</v>
      </c>
      <c r="AB17" s="559">
        <f>AB21</f>
        <v>11662</v>
      </c>
      <c r="AC17" s="559">
        <f t="shared" si="1"/>
        <v>85297837.06400001</v>
      </c>
      <c r="AD17" s="559">
        <f>AD21</f>
        <v>707</v>
      </c>
      <c r="AE17" s="559">
        <f t="shared" si="1"/>
        <v>8581633.993999999</v>
      </c>
      <c r="AF17" s="559">
        <f>AF21</f>
        <v>2218</v>
      </c>
      <c r="AG17" s="559">
        <f t="shared" si="1"/>
        <v>6271010.178</v>
      </c>
      <c r="AH17" s="559">
        <f>AH21</f>
        <v>115</v>
      </c>
      <c r="AI17" s="559">
        <f t="shared" si="1"/>
        <v>3217300.1520000002</v>
      </c>
      <c r="AJ17" s="559">
        <f>AJ21</f>
        <v>146</v>
      </c>
      <c r="AK17" s="559">
        <f t="shared" si="1"/>
        <v>6495108.67</v>
      </c>
      <c r="AL17" s="559">
        <f>AL21</f>
        <v>320</v>
      </c>
      <c r="AM17" s="559">
        <f t="shared" si="1"/>
        <v>2257923.051</v>
      </c>
      <c r="AN17" s="559">
        <f>AN21</f>
        <v>449</v>
      </c>
      <c r="AO17" s="559">
        <f t="shared" si="1"/>
        <v>1352491.207</v>
      </c>
      <c r="AP17" s="559">
        <f>AP21</f>
        <v>536</v>
      </c>
      <c r="AQ17" s="559">
        <f t="shared" si="1"/>
        <v>1674103.653</v>
      </c>
      <c r="AR17" s="559">
        <f>AR21</f>
        <v>15</v>
      </c>
      <c r="AS17" s="559">
        <f t="shared" si="1"/>
        <v>39931.007</v>
      </c>
      <c r="AT17" s="559">
        <f>AT21</f>
        <v>5</v>
      </c>
      <c r="AU17" s="559">
        <f t="shared" si="1"/>
        <v>2388.004</v>
      </c>
      <c r="AV17" s="559">
        <f>AV21</f>
        <v>459</v>
      </c>
      <c r="AW17" s="559">
        <f t="shared" si="1"/>
        <v>691846.04</v>
      </c>
      <c r="AX17" s="559">
        <f>AX21</f>
        <v>1490</v>
      </c>
      <c r="AY17" s="559">
        <f t="shared" si="1"/>
        <v>2703886.721</v>
      </c>
      <c r="AZ17" s="559">
        <f>AZ21</f>
        <v>0</v>
      </c>
      <c r="BA17" s="559">
        <f t="shared" si="1"/>
        <v>37116.312999999995</v>
      </c>
      <c r="BB17" s="559"/>
      <c r="BC17" s="559"/>
      <c r="BD17" s="559"/>
      <c r="BE17" s="559"/>
      <c r="BF17" s="206"/>
      <c r="BG17" s="206"/>
      <c r="BH17" s="206"/>
      <c r="BI17" s="206"/>
      <c r="BJ17" s="206"/>
      <c r="BK17" s="206"/>
      <c r="BL17" s="206"/>
    </row>
    <row r="18" spans="13:64" ht="30" customHeight="1" hidden="1">
      <c r="M18" s="424" t="s">
        <v>16</v>
      </c>
      <c r="N18" s="559">
        <f t="shared" si="0"/>
        <v>24340</v>
      </c>
      <c r="O18" s="559">
        <f t="shared" si="0"/>
        <v>29834587.84800001</v>
      </c>
      <c r="P18" s="559">
        <f>459+1743</f>
        <v>2202</v>
      </c>
      <c r="Q18" s="559">
        <f>50302.695+139841.999</f>
        <v>190144.69400000002</v>
      </c>
      <c r="R18" s="559">
        <f>39+157</f>
        <v>196</v>
      </c>
      <c r="S18" s="559">
        <f>271202.287+509452.812</f>
        <v>780655.0989999999</v>
      </c>
      <c r="T18" s="559">
        <f>825+1217</f>
        <v>2042</v>
      </c>
      <c r="U18" s="559">
        <f>2232616.113+4938777.307</f>
        <v>7171393.42</v>
      </c>
      <c r="V18" s="559">
        <f>4+9</f>
        <v>13</v>
      </c>
      <c r="W18" s="559">
        <f>18611.318+22131.646</f>
        <v>40742.964</v>
      </c>
      <c r="X18" s="559">
        <f>45+49</f>
        <v>94</v>
      </c>
      <c r="Y18" s="559">
        <f>29348.851+38973.513</f>
        <v>68322.364</v>
      </c>
      <c r="Z18" s="559">
        <f>934+942</f>
        <v>1876</v>
      </c>
      <c r="AA18" s="559">
        <f>1380664.542+2067817.254</f>
        <v>3448481.796</v>
      </c>
      <c r="AB18" s="559">
        <f>5319+6276</f>
        <v>11595</v>
      </c>
      <c r="AC18" s="559">
        <f>4978207.567+8164701.005</f>
        <v>13142908.572</v>
      </c>
      <c r="AD18" s="559">
        <f>305+398</f>
        <v>703</v>
      </c>
      <c r="AE18" s="559">
        <f>365752.708+792551.359</f>
        <v>1158304.067</v>
      </c>
      <c r="AF18" s="559">
        <f>1158+975</f>
        <v>2133</v>
      </c>
      <c r="AG18" s="559">
        <f>605660.681+425955.465</f>
        <v>1031616.146</v>
      </c>
      <c r="AH18" s="559">
        <f>50+70</f>
        <v>120</v>
      </c>
      <c r="AI18" s="559">
        <f>444755.471+31268.978</f>
        <v>476024.449</v>
      </c>
      <c r="AJ18" s="559">
        <f>49+93</f>
        <v>142</v>
      </c>
      <c r="AK18" s="559">
        <f>425635.022+588546.25</f>
        <v>1014181.272</v>
      </c>
      <c r="AL18" s="559">
        <f>140+177</f>
        <v>317</v>
      </c>
      <c r="AM18" s="559">
        <f>213088.41+89739.448</f>
        <v>302827.858</v>
      </c>
      <c r="AN18" s="559">
        <f>222+217</f>
        <v>439</v>
      </c>
      <c r="AO18" s="559">
        <f>58391.974+130494.945</f>
        <v>188886.919</v>
      </c>
      <c r="AP18" s="559">
        <f>252+277</f>
        <v>529</v>
      </c>
      <c r="AQ18" s="559">
        <f>94566.585+165303.759</f>
        <v>259870.34399999998</v>
      </c>
      <c r="AR18" s="559">
        <f>3+6</f>
        <v>9</v>
      </c>
      <c r="AS18" s="559">
        <f>2957.634+385.236</f>
        <v>3342.87</v>
      </c>
      <c r="AT18" s="559">
        <f>1+4</f>
        <v>5</v>
      </c>
      <c r="AU18" s="559">
        <f>0+398</f>
        <v>398</v>
      </c>
      <c r="AV18" s="559">
        <f>221+222</f>
        <v>443</v>
      </c>
      <c r="AW18" s="559">
        <f>45938.627+71196.638</f>
        <v>117135.26500000001</v>
      </c>
      <c r="AX18" s="559">
        <f>697+785</f>
        <v>1482</v>
      </c>
      <c r="AY18" s="559">
        <f>183855.85+252070.599</f>
        <v>435926.449</v>
      </c>
      <c r="AZ18" s="559">
        <f>0</f>
        <v>0</v>
      </c>
      <c r="BA18" s="559">
        <f>665.413+2759.887</f>
        <v>3425.3</v>
      </c>
      <c r="BB18" s="559"/>
      <c r="BC18" s="559"/>
      <c r="BD18" s="559"/>
      <c r="BE18" s="559"/>
      <c r="BF18" s="206"/>
      <c r="BG18" s="206"/>
      <c r="BH18" s="206"/>
      <c r="BI18" s="206"/>
      <c r="BJ18" s="206"/>
      <c r="BK18" s="206"/>
      <c r="BL18" s="206"/>
    </row>
    <row r="19" spans="13:64" ht="30" customHeight="1" hidden="1">
      <c r="M19" s="424" t="s">
        <v>17</v>
      </c>
      <c r="N19" s="559">
        <f t="shared" si="0"/>
        <v>24411</v>
      </c>
      <c r="O19" s="559">
        <f t="shared" si="0"/>
        <v>31579206.464999996</v>
      </c>
      <c r="P19" s="559">
        <f>P33</f>
        <v>2189</v>
      </c>
      <c r="Q19" s="559">
        <f>Q33-Q18</f>
        <v>150997.69299999997</v>
      </c>
      <c r="R19" s="559">
        <f>R33</f>
        <v>202</v>
      </c>
      <c r="S19" s="559">
        <f>S33-S18</f>
        <v>843053.743</v>
      </c>
      <c r="T19" s="559">
        <f>T33</f>
        <v>2051</v>
      </c>
      <c r="U19" s="559">
        <f>U33-U18</f>
        <v>7836756.365</v>
      </c>
      <c r="V19" s="559">
        <f>V33</f>
        <v>13</v>
      </c>
      <c r="W19" s="559">
        <f>W33-W18</f>
        <v>34439.539</v>
      </c>
      <c r="X19" s="559">
        <f>X33</f>
        <v>93</v>
      </c>
      <c r="Y19" s="559">
        <f>Y33-Y18</f>
        <v>84914.91399999999</v>
      </c>
      <c r="Z19" s="559">
        <f>Z33</f>
        <v>1909</v>
      </c>
      <c r="AA19" s="559">
        <f>AA33-AA18</f>
        <v>4076594.4529999997</v>
      </c>
      <c r="AB19" s="559">
        <f>AB33</f>
        <v>11616</v>
      </c>
      <c r="AC19" s="559">
        <f>AC33-AC18</f>
        <v>13247643.325</v>
      </c>
      <c r="AD19" s="559">
        <f>AD33</f>
        <v>706</v>
      </c>
      <c r="AE19" s="559">
        <f>AE33-AE18</f>
        <v>1425170.7159999998</v>
      </c>
      <c r="AF19" s="559">
        <f>AF33</f>
        <v>2154</v>
      </c>
      <c r="AG19" s="559">
        <f>AG33-AG18</f>
        <v>888435.791</v>
      </c>
      <c r="AH19" s="559">
        <f>AH33</f>
        <v>118</v>
      </c>
      <c r="AI19" s="559">
        <f>AI33-AI18</f>
        <v>443745.55700000003</v>
      </c>
      <c r="AJ19" s="559">
        <f>AJ33</f>
        <v>142</v>
      </c>
      <c r="AK19" s="559">
        <f>AK33-AK18</f>
        <v>1085221.79</v>
      </c>
      <c r="AL19" s="559">
        <f>AL33</f>
        <v>316</v>
      </c>
      <c r="AM19" s="559">
        <f>AM33-AM18</f>
        <v>438119.848</v>
      </c>
      <c r="AN19" s="559">
        <f>AN33</f>
        <v>440</v>
      </c>
      <c r="AO19" s="559">
        <f>AO33-AO18</f>
        <v>210815.16299999994</v>
      </c>
      <c r="AP19" s="559">
        <f>AP33</f>
        <v>519</v>
      </c>
      <c r="AQ19" s="559">
        <f>AQ33-AQ18</f>
        <v>260969.24000000005</v>
      </c>
      <c r="AR19" s="559">
        <f>AR33</f>
        <v>10</v>
      </c>
      <c r="AS19" s="559">
        <f>AS33-AS18</f>
        <v>3016.804</v>
      </c>
      <c r="AT19" s="559">
        <f>AT33</f>
        <v>5</v>
      </c>
      <c r="AU19" s="559">
        <f>AU33-AU18</f>
        <v>398</v>
      </c>
      <c r="AV19" s="559">
        <f>AV33</f>
        <v>444</v>
      </c>
      <c r="AW19" s="559">
        <f>AW33-AW18</f>
        <v>105736.95499999999</v>
      </c>
      <c r="AX19" s="559">
        <f>AX33</f>
        <v>1484</v>
      </c>
      <c r="AY19" s="559">
        <f>AY33-AY18</f>
        <v>431770.3119999999</v>
      </c>
      <c r="AZ19" s="559">
        <f>AZ33</f>
        <v>0</v>
      </c>
      <c r="BA19" s="559">
        <f>BA33-BA18</f>
        <v>11406.256999999998</v>
      </c>
      <c r="BB19" s="559"/>
      <c r="BC19" s="559"/>
      <c r="BD19" s="559"/>
      <c r="BE19" s="559"/>
      <c r="BF19" s="206"/>
      <c r="BG19" s="206"/>
      <c r="BH19" s="206"/>
      <c r="BI19" s="206"/>
      <c r="BJ19" s="206"/>
      <c r="BK19" s="206"/>
      <c r="BL19" s="206"/>
    </row>
    <row r="20" spans="13:64" ht="30" customHeight="1" hidden="1">
      <c r="M20" s="424" t="s">
        <v>18</v>
      </c>
      <c r="N20" s="559">
        <f t="shared" si="0"/>
        <v>24546</v>
      </c>
      <c r="O20" s="559">
        <f t="shared" si="0"/>
        <v>68711928.669</v>
      </c>
      <c r="P20" s="559">
        <f>P36</f>
        <v>2184</v>
      </c>
      <c r="Q20" s="559">
        <f>Q36-Q33</f>
        <v>393663.826</v>
      </c>
      <c r="R20" s="559">
        <f>R36</f>
        <v>205</v>
      </c>
      <c r="S20" s="559">
        <f>S36-S33</f>
        <v>1707881.038</v>
      </c>
      <c r="T20" s="559">
        <f>T36</f>
        <v>2056</v>
      </c>
      <c r="U20" s="559">
        <f>U36-U33</f>
        <v>18175643.430999998</v>
      </c>
      <c r="V20" s="559">
        <f>V36</f>
        <v>14</v>
      </c>
      <c r="W20" s="559">
        <f>W36-W33</f>
        <v>61713.888000000006</v>
      </c>
      <c r="X20" s="559">
        <f>X36</f>
        <v>90</v>
      </c>
      <c r="Y20" s="559">
        <f>Y36-Y33</f>
        <v>321059.47099999996</v>
      </c>
      <c r="Z20" s="559">
        <f>Z36</f>
        <v>1935</v>
      </c>
      <c r="AA20" s="559">
        <f>AA36-AA33</f>
        <v>8267051.957999999</v>
      </c>
      <c r="AB20" s="559">
        <f>AB36</f>
        <v>11649</v>
      </c>
      <c r="AC20" s="559">
        <f>AC36-AC33</f>
        <v>28423065.589</v>
      </c>
      <c r="AD20" s="559">
        <f>AD36</f>
        <v>704</v>
      </c>
      <c r="AE20" s="559">
        <f>AE36-AE33</f>
        <v>2885874.2460000003</v>
      </c>
      <c r="AF20" s="559">
        <f>AF36</f>
        <v>2195</v>
      </c>
      <c r="AG20" s="559">
        <f>AG36-AG33</f>
        <v>2235977.0379999997</v>
      </c>
      <c r="AH20" s="559">
        <f>AH36</f>
        <v>118</v>
      </c>
      <c r="AI20" s="559">
        <f>AI36-AI33</f>
        <v>1138994.902</v>
      </c>
      <c r="AJ20" s="559">
        <f>AJ36</f>
        <v>143</v>
      </c>
      <c r="AK20" s="559">
        <f>AK36-AK33</f>
        <v>2128988.899</v>
      </c>
      <c r="AL20" s="559">
        <f>AL36</f>
        <v>313</v>
      </c>
      <c r="AM20" s="559">
        <f>AM36-AM33</f>
        <v>825710.4680000001</v>
      </c>
      <c r="AN20" s="559">
        <f>AN36</f>
        <v>453</v>
      </c>
      <c r="AO20" s="559">
        <f>AO36-AO33</f>
        <v>454594.9820000001</v>
      </c>
      <c r="AP20" s="559">
        <f>AP36</f>
        <v>530</v>
      </c>
      <c r="AQ20" s="559">
        <f>AQ36-AQ33</f>
        <v>528481.0149999999</v>
      </c>
      <c r="AR20" s="559">
        <f>AR36</f>
        <v>14</v>
      </c>
      <c r="AS20" s="559">
        <f>AS36-AS33</f>
        <v>14870.212</v>
      </c>
      <c r="AT20" s="559">
        <f>AT36</f>
        <v>5</v>
      </c>
      <c r="AU20" s="559">
        <f>AU36-AU33</f>
        <v>796</v>
      </c>
      <c r="AV20" s="559">
        <f>AV36</f>
        <v>453</v>
      </c>
      <c r="AW20" s="559">
        <f>AW36-AW33</f>
        <v>244508.167</v>
      </c>
      <c r="AX20" s="559">
        <f>AX36</f>
        <v>1485</v>
      </c>
      <c r="AY20" s="559">
        <f>AY36-AY33</f>
        <v>885953.514</v>
      </c>
      <c r="AZ20" s="559">
        <f>AZ36</f>
        <v>0</v>
      </c>
      <c r="BA20" s="559">
        <f>BA36-BA33</f>
        <v>17100.025</v>
      </c>
      <c r="BB20" s="559"/>
      <c r="BC20" s="559"/>
      <c r="BD20" s="559"/>
      <c r="BE20" s="559"/>
      <c r="BF20" s="206"/>
      <c r="BG20" s="206"/>
      <c r="BH20" s="206"/>
      <c r="BI20" s="206"/>
      <c r="BJ20" s="206"/>
      <c r="BK20" s="206"/>
      <c r="BL20" s="206"/>
    </row>
    <row r="21" spans="13:64" ht="30" customHeight="1">
      <c r="M21" s="424" t="s">
        <v>19</v>
      </c>
      <c r="N21" s="559">
        <f t="shared" si="0"/>
        <v>24647</v>
      </c>
      <c r="O21" s="559">
        <f t="shared" si="0"/>
        <v>75948720.16700004</v>
      </c>
      <c r="P21" s="559">
        <f>P39</f>
        <v>2180</v>
      </c>
      <c r="Q21" s="559">
        <f>Q39-Q36</f>
        <v>397776.628</v>
      </c>
      <c r="R21" s="559">
        <f>R39</f>
        <v>197</v>
      </c>
      <c r="S21" s="559">
        <f>S39-S36</f>
        <v>1877884.551</v>
      </c>
      <c r="T21" s="559">
        <f>T39</f>
        <v>2063</v>
      </c>
      <c r="U21" s="559">
        <f>U39-U36</f>
        <v>20521148.344000004</v>
      </c>
      <c r="V21" s="559">
        <f>V39</f>
        <v>14</v>
      </c>
      <c r="W21" s="559">
        <f>W39-W36</f>
        <v>82301.628</v>
      </c>
      <c r="X21" s="559">
        <f>X39</f>
        <v>91</v>
      </c>
      <c r="Y21" s="559">
        <f>Y39-Y36</f>
        <v>430676.3720000001</v>
      </c>
      <c r="Z21" s="559">
        <f>Z39</f>
        <v>1980</v>
      </c>
      <c r="AA21" s="559">
        <f>AA39-AA36</f>
        <v>10488568.916000001</v>
      </c>
      <c r="AB21" s="559">
        <f>AB39</f>
        <v>11662</v>
      </c>
      <c r="AC21" s="559">
        <f>AC39-AC36</f>
        <v>30484219.57800001</v>
      </c>
      <c r="AD21" s="559">
        <f>AD39</f>
        <v>707</v>
      </c>
      <c r="AE21" s="559">
        <f>AE39-AE36</f>
        <v>3112284.964999999</v>
      </c>
      <c r="AF21" s="559">
        <f>AF39</f>
        <v>2218</v>
      </c>
      <c r="AG21" s="559">
        <f>AG39-AG36</f>
        <v>2114981.2030000007</v>
      </c>
      <c r="AH21" s="559">
        <f>AH39</f>
        <v>115</v>
      </c>
      <c r="AI21" s="559">
        <f>AI39-AI36</f>
        <v>1158535.2440000002</v>
      </c>
      <c r="AJ21" s="559">
        <f>AJ39</f>
        <v>146</v>
      </c>
      <c r="AK21" s="559">
        <f>AK39-AK36</f>
        <v>2266716.709</v>
      </c>
      <c r="AL21" s="559">
        <f>AL39</f>
        <v>320</v>
      </c>
      <c r="AM21" s="559">
        <f>AM39-AM36</f>
        <v>691264.8769999999</v>
      </c>
      <c r="AN21" s="559">
        <f>AN39</f>
        <v>449</v>
      </c>
      <c r="AO21" s="559">
        <f>AO39-AO36</f>
        <v>498194.1429999999</v>
      </c>
      <c r="AP21" s="559">
        <f>AP39</f>
        <v>536</v>
      </c>
      <c r="AQ21" s="559">
        <f>AQ39-AQ36</f>
        <v>624783.054</v>
      </c>
      <c r="AR21" s="559">
        <f>AR39</f>
        <v>15</v>
      </c>
      <c r="AS21" s="559">
        <f>AS39-AS36</f>
        <v>18701.121</v>
      </c>
      <c r="AT21" s="559">
        <f>AT39</f>
        <v>5</v>
      </c>
      <c r="AU21" s="559">
        <f>AU39-AU36</f>
        <v>796.0039999999999</v>
      </c>
      <c r="AV21" s="559">
        <f>AV39</f>
        <v>459</v>
      </c>
      <c r="AW21" s="559">
        <f>AW39-AW36</f>
        <v>224465.65300000005</v>
      </c>
      <c r="AX21" s="559">
        <f>AX39</f>
        <v>1490</v>
      </c>
      <c r="AY21" s="559">
        <f>AY39-AY36</f>
        <v>950236.446</v>
      </c>
      <c r="AZ21" s="559">
        <f>AZ39</f>
        <v>0</v>
      </c>
      <c r="BA21" s="559">
        <f>BA39-BA36</f>
        <v>5184.731</v>
      </c>
      <c r="BB21" s="559"/>
      <c r="BC21" s="559"/>
      <c r="BD21" s="559"/>
      <c r="BE21" s="559"/>
      <c r="BF21" s="206"/>
      <c r="BG21" s="206"/>
      <c r="BH21" s="206"/>
      <c r="BI21" s="206"/>
      <c r="BJ21" s="206"/>
      <c r="BK21" s="206"/>
      <c r="BL21" s="206"/>
    </row>
    <row r="22" spans="13:64" ht="30" customHeight="1">
      <c r="M22" s="557" t="s">
        <v>1204</v>
      </c>
      <c r="N22" s="559">
        <f>N26</f>
        <v>25033</v>
      </c>
      <c r="O22" s="559">
        <f>SUM(O23:O26)</f>
        <v>231021419.65099996</v>
      </c>
      <c r="P22" s="559">
        <f>P26</f>
        <v>2166</v>
      </c>
      <c r="Q22" s="559">
        <f>SUM(Q23:Q26)</f>
        <v>1021660.173</v>
      </c>
      <c r="R22" s="559">
        <f>R26</f>
        <v>179</v>
      </c>
      <c r="S22" s="559">
        <f>SUM(S23:S26)</f>
        <v>5001238.511</v>
      </c>
      <c r="T22" s="559">
        <f>T26</f>
        <v>2062</v>
      </c>
      <c r="U22" s="559">
        <f>SUM(U23:U26)</f>
        <v>65505177.057000004</v>
      </c>
      <c r="V22" s="559">
        <f>V26</f>
        <v>12</v>
      </c>
      <c r="W22" s="559">
        <f>SUM(W23:W26)</f>
        <v>234102.52399999998</v>
      </c>
      <c r="X22" s="559">
        <f>X26</f>
        <v>92</v>
      </c>
      <c r="Y22" s="559">
        <f>SUM(Y23:Y26)</f>
        <v>820175.767</v>
      </c>
      <c r="Z22" s="559">
        <f>Z26</f>
        <v>2102</v>
      </c>
      <c r="AA22" s="559">
        <f>SUM(AA23:AA26)</f>
        <v>26176157.406999998</v>
      </c>
      <c r="AB22" s="559">
        <f>AB26</f>
        <v>11719</v>
      </c>
      <c r="AC22" s="559">
        <f>SUM(AC23:AC26)</f>
        <v>95141108.005</v>
      </c>
      <c r="AD22" s="559">
        <f>AD26</f>
        <v>717</v>
      </c>
      <c r="AE22" s="559">
        <f>SUM(AE23:AE26)</f>
        <v>9491048.284</v>
      </c>
      <c r="AF22" s="559">
        <f>AF26</f>
        <v>2313</v>
      </c>
      <c r="AG22" s="559">
        <f>SUM(AG23:AG26)</f>
        <v>7670851.756999999</v>
      </c>
      <c r="AH22" s="559">
        <f>AH26</f>
        <v>126</v>
      </c>
      <c r="AI22" s="559">
        <f>SUM(AI23:AI26)</f>
        <v>3587305.2630000003</v>
      </c>
      <c r="AJ22" s="559">
        <f>AJ26</f>
        <v>151</v>
      </c>
      <c r="AK22" s="559">
        <f>SUM(AK23:AK26)</f>
        <v>6778934.336</v>
      </c>
      <c r="AL22" s="559">
        <f>AL26</f>
        <v>384</v>
      </c>
      <c r="AM22" s="559">
        <f>SUM(AM23:AM26)</f>
        <v>2759727.99</v>
      </c>
      <c r="AN22" s="559">
        <f>AN26</f>
        <v>448</v>
      </c>
      <c r="AO22" s="559">
        <f>SUM(AO23:AO26)</f>
        <v>1326398.1269999999</v>
      </c>
      <c r="AP22" s="559">
        <f>AP26</f>
        <v>549</v>
      </c>
      <c r="AQ22" s="559">
        <f>SUM(AQ23:AQ26)</f>
        <v>1850743.5860000001</v>
      </c>
      <c r="AR22" s="559">
        <f>AR26</f>
        <v>14</v>
      </c>
      <c r="AS22" s="559">
        <f>SUM(AS23:AS26)</f>
        <v>53049.93</v>
      </c>
      <c r="AT22" s="559">
        <f>AT26</f>
        <v>7</v>
      </c>
      <c r="AU22" s="559">
        <f>SUM(AU23:AU26)</f>
        <v>2393.732</v>
      </c>
      <c r="AV22" s="559">
        <f>AV26</f>
        <v>483</v>
      </c>
      <c r="AW22" s="559">
        <f>SUM(AW23:AW26)</f>
        <v>713822.781</v>
      </c>
      <c r="AX22" s="559">
        <f>AX26</f>
        <v>1509</v>
      </c>
      <c r="AY22" s="559">
        <f>SUM(AY23:AY26)</f>
        <v>2861838.0870000003</v>
      </c>
      <c r="AZ22" s="559">
        <f>AZ26</f>
        <v>0</v>
      </c>
      <c r="BA22" s="559">
        <f>SUM(BA23:BA26)</f>
        <v>25686.334000000003</v>
      </c>
      <c r="BB22" s="559"/>
      <c r="BC22" s="559"/>
      <c r="BD22" s="559"/>
      <c r="BE22" s="559"/>
      <c r="BF22" s="206"/>
      <c r="BG22" s="206"/>
      <c r="BH22" s="206"/>
      <c r="BI22" s="206"/>
      <c r="BJ22" s="206"/>
      <c r="BK22" s="206"/>
      <c r="BL22" s="206"/>
    </row>
    <row r="23" spans="13:64" ht="30" customHeight="1">
      <c r="M23" s="424" t="s">
        <v>16</v>
      </c>
      <c r="N23" s="559">
        <f aca="true" t="shared" si="2" ref="N23:O25">P23+R23+T23+V23+X23+Z23+AB23+AD23+AF23+AH23+AJ23+AL23+AN23+AP23+AR23+AT23+AV23+AX23+AZ23</f>
        <v>24648</v>
      </c>
      <c r="O23" s="559">
        <f t="shared" si="2"/>
        <v>33699686.37899999</v>
      </c>
      <c r="P23" s="559">
        <v>2170</v>
      </c>
      <c r="Q23" s="559">
        <f>98557.886+62122.543</f>
        <v>160680.429</v>
      </c>
      <c r="R23" s="559">
        <f>152+44</f>
        <v>196</v>
      </c>
      <c r="S23" s="559">
        <f>493889.898+273316.125</f>
        <v>767206.023</v>
      </c>
      <c r="T23" s="559">
        <f>1240+807</f>
        <v>2047</v>
      </c>
      <c r="U23" s="559">
        <f>7031504.655+2264830.314</f>
        <v>9296334.969</v>
      </c>
      <c r="V23" s="559">
        <f>9+5</f>
        <v>14</v>
      </c>
      <c r="W23" s="559">
        <f>22695.339+24039.259</f>
        <v>46734.598</v>
      </c>
      <c r="X23" s="559">
        <f>48+42</f>
        <v>90</v>
      </c>
      <c r="Y23" s="559">
        <f>84048.909+29986.316</f>
        <v>114035.225</v>
      </c>
      <c r="Z23" s="559">
        <f>1019+986</f>
        <v>2005</v>
      </c>
      <c r="AA23" s="559">
        <f>2102906.067+1486817.604</f>
        <v>3589723.671</v>
      </c>
      <c r="AB23" s="559">
        <f>6320+5345</f>
        <v>11665</v>
      </c>
      <c r="AC23" s="559">
        <f>8952296.808+5067116.917</f>
        <v>14019413.725000001</v>
      </c>
      <c r="AD23" s="559">
        <f>397+310</f>
        <v>707</v>
      </c>
      <c r="AE23" s="559">
        <f>927914.304+408866.671</f>
        <v>1336780.975</v>
      </c>
      <c r="AF23" s="559">
        <f>1038+1186</f>
        <v>2224</v>
      </c>
      <c r="AG23" s="559">
        <f>523122.091+895336.302</f>
        <v>1418458.3930000002</v>
      </c>
      <c r="AH23" s="559">
        <f>64+49</f>
        <v>113</v>
      </c>
      <c r="AI23" s="559">
        <f>21030.952+546145.849</f>
        <v>567176.8010000001</v>
      </c>
      <c r="AJ23" s="559">
        <f>91+50</f>
        <v>141</v>
      </c>
      <c r="AK23" s="559">
        <f>578904.032+482346.533</f>
        <v>1061250.565</v>
      </c>
      <c r="AL23" s="559">
        <f>180+143</f>
        <v>323</v>
      </c>
      <c r="AM23" s="559">
        <f>176090.587+167045.389</f>
        <v>343135.976</v>
      </c>
      <c r="AN23" s="559">
        <f>216+226</f>
        <v>442</v>
      </c>
      <c r="AO23" s="559">
        <f>96597.057+66926.174</f>
        <v>163523.231</v>
      </c>
      <c r="AP23" s="559">
        <f>275+260</f>
        <v>535</v>
      </c>
      <c r="AQ23" s="559">
        <f>149223.63+102449.893</f>
        <v>251673.523</v>
      </c>
      <c r="AR23" s="559">
        <f>8+7</f>
        <v>15</v>
      </c>
      <c r="AS23" s="559">
        <f>434.374+2641.01</f>
        <v>3075.384</v>
      </c>
      <c r="AT23" s="559">
        <f>4+1</f>
        <v>5</v>
      </c>
      <c r="AU23" s="559">
        <f>398+0.002</f>
        <v>398.002</v>
      </c>
      <c r="AV23" s="559">
        <f>236+227</f>
        <v>463</v>
      </c>
      <c r="AW23" s="559">
        <f>72406.753+44727.756</f>
        <v>117134.50899999999</v>
      </c>
      <c r="AX23" s="559">
        <f>790+703</f>
        <v>1493</v>
      </c>
      <c r="AY23" s="559">
        <f>239876.471+199615.579</f>
        <v>439492.05</v>
      </c>
      <c r="AZ23" s="559">
        <v>0</v>
      </c>
      <c r="BA23" s="559">
        <f>541+2917.33</f>
        <v>3458.33</v>
      </c>
      <c r="BB23" s="559"/>
      <c r="BC23" s="559"/>
      <c r="BD23" s="559"/>
      <c r="BE23" s="559"/>
      <c r="BF23" s="206"/>
      <c r="BG23" s="206"/>
      <c r="BH23" s="206"/>
      <c r="BI23" s="206"/>
      <c r="BJ23" s="206"/>
      <c r="BK23" s="206"/>
      <c r="BL23" s="206"/>
    </row>
    <row r="24" spans="13:64" ht="30" customHeight="1">
      <c r="M24" s="424" t="s">
        <v>17</v>
      </c>
      <c r="N24" s="559">
        <f t="shared" si="2"/>
        <v>24732</v>
      </c>
      <c r="O24" s="559">
        <f t="shared" si="2"/>
        <v>36129171.58599999</v>
      </c>
      <c r="P24" s="559">
        <f>P42</f>
        <v>2169</v>
      </c>
      <c r="Q24" s="559">
        <f>Q42-Q23</f>
        <v>183528.22100000002</v>
      </c>
      <c r="R24" s="559">
        <f>R42</f>
        <v>190</v>
      </c>
      <c r="S24" s="559">
        <f>S42-S23</f>
        <v>848935.6879999998</v>
      </c>
      <c r="T24" s="559">
        <f>T42</f>
        <v>2041</v>
      </c>
      <c r="U24" s="559">
        <f>U42-U23</f>
        <v>10460616.421999998</v>
      </c>
      <c r="V24" s="559">
        <f>V42</f>
        <v>13</v>
      </c>
      <c r="W24" s="559">
        <f>W42-W23</f>
        <v>42161.993</v>
      </c>
      <c r="X24" s="559">
        <f>X42</f>
        <v>92</v>
      </c>
      <c r="Y24" s="559">
        <f>Y42-Y23</f>
        <v>146970.275</v>
      </c>
      <c r="Z24" s="559">
        <f>Z42</f>
        <v>2036</v>
      </c>
      <c r="AA24" s="559">
        <f>AA42-AA23</f>
        <v>3675408.7879999997</v>
      </c>
      <c r="AB24" s="559">
        <f>AB42</f>
        <v>11675</v>
      </c>
      <c r="AC24" s="559">
        <f>AC42-AC23</f>
        <v>14911625.107</v>
      </c>
      <c r="AD24" s="559">
        <f>AD42</f>
        <v>708</v>
      </c>
      <c r="AE24" s="559">
        <f>AE42-AE23</f>
        <v>1580945.0439999998</v>
      </c>
      <c r="AF24" s="559">
        <f>AF42</f>
        <v>2243</v>
      </c>
      <c r="AG24" s="559">
        <f>AG42-AG23</f>
        <v>1072788.77</v>
      </c>
      <c r="AH24" s="559">
        <f>AH42</f>
        <v>117</v>
      </c>
      <c r="AI24" s="559">
        <f>AI42-AI23</f>
        <v>553376.958</v>
      </c>
      <c r="AJ24" s="559">
        <f>AJ42</f>
        <v>142</v>
      </c>
      <c r="AK24" s="559">
        <f>AK42-AK23</f>
        <v>1108575.208</v>
      </c>
      <c r="AL24" s="559">
        <f>AL42</f>
        <v>335</v>
      </c>
      <c r="AM24" s="559">
        <f>AM42-AM23</f>
        <v>500773.899</v>
      </c>
      <c r="AN24" s="559">
        <f>AN42</f>
        <v>444</v>
      </c>
      <c r="AO24" s="559">
        <f>AO42-AO23</f>
        <v>187907.165</v>
      </c>
      <c r="AP24" s="559">
        <f>AP42</f>
        <v>535</v>
      </c>
      <c r="AQ24" s="559">
        <f>AQ42-AQ23</f>
        <v>284519.17100000003</v>
      </c>
      <c r="AR24" s="559">
        <f>AR42</f>
        <v>15</v>
      </c>
      <c r="AS24" s="559">
        <f>AS42-AS23</f>
        <v>6800.987999999999</v>
      </c>
      <c r="AT24" s="559">
        <f>AT42</f>
        <v>6</v>
      </c>
      <c r="AU24" s="559">
        <f>AU42-AU23</f>
        <v>398.002</v>
      </c>
      <c r="AV24" s="559">
        <f>AV42</f>
        <v>467</v>
      </c>
      <c r="AW24" s="559">
        <f>AW42-AW23</f>
        <v>103582.93800000002</v>
      </c>
      <c r="AX24" s="559">
        <f>AX42</f>
        <v>1504</v>
      </c>
      <c r="AY24" s="559">
        <f>AY42-AY23</f>
        <v>457451.582</v>
      </c>
      <c r="AZ24" s="559">
        <f>AZ42</f>
        <v>0</v>
      </c>
      <c r="BA24" s="559">
        <f>BA42-BA23</f>
        <v>2805.367</v>
      </c>
      <c r="BB24" s="559"/>
      <c r="BC24" s="559"/>
      <c r="BD24" s="559"/>
      <c r="BE24" s="559"/>
      <c r="BF24" s="206"/>
      <c r="BG24" s="206"/>
      <c r="BH24" s="206"/>
      <c r="BI24" s="206"/>
      <c r="BJ24" s="206"/>
      <c r="BK24" s="206"/>
      <c r="BL24" s="206"/>
    </row>
    <row r="25" spans="13:64" ht="30" customHeight="1">
      <c r="M25" s="424" t="s">
        <v>18</v>
      </c>
      <c r="N25" s="559">
        <f t="shared" si="2"/>
        <v>24868</v>
      </c>
      <c r="O25" s="559">
        <f t="shared" si="2"/>
        <v>77909665.71899998</v>
      </c>
      <c r="P25" s="559">
        <f>P45</f>
        <v>2167</v>
      </c>
      <c r="Q25" s="559">
        <f>Q45-Q42</f>
        <v>337855.904</v>
      </c>
      <c r="R25" s="559">
        <f>R45</f>
        <v>190</v>
      </c>
      <c r="S25" s="559">
        <f>S45-S42</f>
        <v>1745256.36</v>
      </c>
      <c r="T25" s="559">
        <f>T45</f>
        <v>2050</v>
      </c>
      <c r="U25" s="559">
        <f>U45-U42</f>
        <v>21946577.795000006</v>
      </c>
      <c r="V25" s="559">
        <f>V45</f>
        <v>13</v>
      </c>
      <c r="W25" s="559">
        <f>W45-W42</f>
        <v>67714.504</v>
      </c>
      <c r="X25" s="559">
        <f>X45</f>
        <v>91</v>
      </c>
      <c r="Y25" s="559">
        <f>Y45-Y42</f>
        <v>244876.46500000003</v>
      </c>
      <c r="Z25" s="559">
        <f>Z45</f>
        <v>2076</v>
      </c>
      <c r="AA25" s="559">
        <f>AA45-AA42</f>
        <v>8655499.333</v>
      </c>
      <c r="AB25" s="559">
        <f>AB45</f>
        <v>11694</v>
      </c>
      <c r="AC25" s="559">
        <f>AC45-AC42</f>
        <v>32448007.097000003</v>
      </c>
      <c r="AD25" s="559">
        <f>AD45</f>
        <v>712</v>
      </c>
      <c r="AE25" s="559">
        <f>AE45-AE42</f>
        <v>3296832.7670000005</v>
      </c>
      <c r="AF25" s="559">
        <f>AF45</f>
        <v>2285</v>
      </c>
      <c r="AG25" s="559">
        <f>AG45-AG42</f>
        <v>2652059.1299999994</v>
      </c>
      <c r="AH25" s="559">
        <f>AH45</f>
        <v>122</v>
      </c>
      <c r="AI25" s="559">
        <f>AI45-AI42</f>
        <v>1147480.8879999998</v>
      </c>
      <c r="AJ25" s="559">
        <f>AJ45</f>
        <v>148</v>
      </c>
      <c r="AK25" s="559">
        <f>AK45-AK42</f>
        <v>2136881.1159999995</v>
      </c>
      <c r="AL25" s="559">
        <f>AL45</f>
        <v>347</v>
      </c>
      <c r="AM25" s="559">
        <f>AM45-AM42</f>
        <v>942437.3029999998</v>
      </c>
      <c r="AN25" s="559">
        <f>AN45</f>
        <v>441</v>
      </c>
      <c r="AO25" s="559">
        <f>AO45-AO42</f>
        <v>443588.8020000001</v>
      </c>
      <c r="AP25" s="559">
        <f>AP45</f>
        <v>537</v>
      </c>
      <c r="AQ25" s="559">
        <f>AQ45-AQ42</f>
        <v>633297.88</v>
      </c>
      <c r="AR25" s="559">
        <f>AR45</f>
        <v>14</v>
      </c>
      <c r="AS25" s="559">
        <f>AS45-AS42</f>
        <v>16360.298999999999</v>
      </c>
      <c r="AT25" s="559">
        <f>AT45</f>
        <v>6</v>
      </c>
      <c r="AU25" s="559">
        <f>AU45-AU42</f>
        <v>796.006</v>
      </c>
      <c r="AV25" s="559">
        <f>AV45</f>
        <v>476</v>
      </c>
      <c r="AW25" s="559">
        <f>AW45-AW42</f>
        <v>256750.05299999999</v>
      </c>
      <c r="AX25" s="559">
        <f>AX45</f>
        <v>1499</v>
      </c>
      <c r="AY25" s="559">
        <f>AY45-AY42</f>
        <v>930848.6140000001</v>
      </c>
      <c r="AZ25" s="559">
        <f>AZ45</f>
        <v>0</v>
      </c>
      <c r="BA25" s="559">
        <f>BA45-BA42</f>
        <v>6545.402999999998</v>
      </c>
      <c r="BB25" s="559"/>
      <c r="BC25" s="559"/>
      <c r="BD25" s="559"/>
      <c r="BE25" s="559"/>
      <c r="BF25" s="206"/>
      <c r="BG25" s="206"/>
      <c r="BH25" s="206"/>
      <c r="BI25" s="206"/>
      <c r="BJ25" s="206"/>
      <c r="BK25" s="206"/>
      <c r="BL25" s="206"/>
    </row>
    <row r="26" spans="13:64" ht="30" customHeight="1" thickBot="1">
      <c r="M26" s="424" t="s">
        <v>19</v>
      </c>
      <c r="N26" s="559">
        <f>P26+R26+T26+V26+X26+Z26+AB26+AD26+AF26+AH26+AJ26+AL26+AN26+AP26+AR26+AT26+AV26+AX26+AZ26</f>
        <v>25033</v>
      </c>
      <c r="O26" s="559">
        <f>Q26+S26+U26+W26+Y26+AA26+AC26+AE26+AG26+AI26+AK26+AM26+AO26+AQ26+AS26+AU26+AW26+AY26+BA26</f>
        <v>83282895.96700001</v>
      </c>
      <c r="P26" s="559">
        <f>P48</f>
        <v>2166</v>
      </c>
      <c r="Q26" s="559">
        <f>Q48-Q45</f>
        <v>339595.61899999995</v>
      </c>
      <c r="R26" s="559">
        <f>R48</f>
        <v>179</v>
      </c>
      <c r="S26" s="559">
        <f>S48-S45</f>
        <v>1639840.44</v>
      </c>
      <c r="T26" s="559">
        <f>T48</f>
        <v>2062</v>
      </c>
      <c r="U26" s="559">
        <f>U48-U45</f>
        <v>23801647.871</v>
      </c>
      <c r="V26" s="559">
        <f>V48</f>
        <v>12</v>
      </c>
      <c r="W26" s="559">
        <f>W48-W45</f>
        <v>77491.42899999997</v>
      </c>
      <c r="X26" s="559">
        <f>X48</f>
        <v>92</v>
      </c>
      <c r="Y26" s="559">
        <f>Y48-Y45</f>
        <v>314293.80199999997</v>
      </c>
      <c r="Z26" s="559">
        <f>Z48</f>
        <v>2102</v>
      </c>
      <c r="AA26" s="559">
        <f>AA48-AA45</f>
        <v>10255525.614999998</v>
      </c>
      <c r="AB26" s="559">
        <f>AB48</f>
        <v>11719</v>
      </c>
      <c r="AC26" s="559">
        <f>AC48-AC45</f>
        <v>33762062.07599999</v>
      </c>
      <c r="AD26" s="559">
        <f>AD48</f>
        <v>717</v>
      </c>
      <c r="AE26" s="559">
        <f>AE48-AE45</f>
        <v>3276489.4979999997</v>
      </c>
      <c r="AF26" s="559">
        <f>AF48</f>
        <v>2313</v>
      </c>
      <c r="AG26" s="559">
        <f>AG48-AG45</f>
        <v>2527545.4639999997</v>
      </c>
      <c r="AH26" s="559">
        <f>AH48</f>
        <v>126</v>
      </c>
      <c r="AI26" s="559">
        <f>AI48-AI45</f>
        <v>1319270.6160000004</v>
      </c>
      <c r="AJ26" s="559">
        <f>AJ48</f>
        <v>151</v>
      </c>
      <c r="AK26" s="559">
        <f>AK48-AK45</f>
        <v>2472227.4470000006</v>
      </c>
      <c r="AL26" s="559">
        <f>AL48</f>
        <v>384</v>
      </c>
      <c r="AM26" s="559">
        <f>AM48-AM45</f>
        <v>973380.8120000004</v>
      </c>
      <c r="AN26" s="559">
        <f>AN48</f>
        <v>448</v>
      </c>
      <c r="AO26" s="559">
        <f>AO48-AO45</f>
        <v>531378.9289999998</v>
      </c>
      <c r="AP26" s="559">
        <f>AP48</f>
        <v>549</v>
      </c>
      <c r="AQ26" s="559">
        <f>AQ48-AQ45</f>
        <v>681253.0120000001</v>
      </c>
      <c r="AR26" s="559">
        <f>AR48</f>
        <v>14</v>
      </c>
      <c r="AS26" s="559">
        <f>AS48-AS45</f>
        <v>26813.259000000002</v>
      </c>
      <c r="AT26" s="559">
        <f>AT48</f>
        <v>7</v>
      </c>
      <c r="AU26" s="559">
        <f>AU48-AU45</f>
        <v>801.722</v>
      </c>
      <c r="AV26" s="559">
        <f>AV48</f>
        <v>483</v>
      </c>
      <c r="AW26" s="559">
        <f>AW48-AW45</f>
        <v>236355.28099999996</v>
      </c>
      <c r="AX26" s="559">
        <f>AX48</f>
        <v>1509</v>
      </c>
      <c r="AY26" s="559">
        <f>AY48-AY45</f>
        <v>1034045.8410000002</v>
      </c>
      <c r="AZ26" s="559">
        <f>AZ48</f>
        <v>0</v>
      </c>
      <c r="BA26" s="559">
        <f>BA48-BA45</f>
        <v>12877.234000000004</v>
      </c>
      <c r="BB26" s="559"/>
      <c r="BC26" s="559"/>
      <c r="BD26" s="559"/>
      <c r="BE26" s="559"/>
      <c r="BF26" s="206"/>
      <c r="BG26" s="206"/>
      <c r="BH26" s="206"/>
      <c r="BI26" s="206"/>
      <c r="BJ26" s="206"/>
      <c r="BK26" s="206"/>
      <c r="BL26" s="206"/>
    </row>
    <row r="27" spans="13:64" ht="33.75" customHeight="1" thickBot="1">
      <c r="M27" s="997" t="s">
        <v>1203</v>
      </c>
      <c r="N27" s="999">
        <f>(N26-N21)/N21*100</f>
        <v>1.5661135229439689</v>
      </c>
      <c r="O27" s="941">
        <f aca="true" t="shared" si="3" ref="O27:BA27">(O26-O21)/O21*100</f>
        <v>9.656747057584639</v>
      </c>
      <c r="P27" s="941">
        <f t="shared" si="3"/>
        <v>-0.6422018348623854</v>
      </c>
      <c r="Q27" s="943">
        <f t="shared" si="3"/>
        <v>-14.626552920550193</v>
      </c>
      <c r="R27" s="943">
        <f t="shared" si="3"/>
        <v>-9.137055837563452</v>
      </c>
      <c r="S27" s="943">
        <f t="shared" si="3"/>
        <v>-12.676184532922335</v>
      </c>
      <c r="T27" s="943">
        <f t="shared" si="3"/>
        <v>-0.048473097430925836</v>
      </c>
      <c r="U27" s="943">
        <f t="shared" si="3"/>
        <v>15.985945191800882</v>
      </c>
      <c r="V27" s="978">
        <f t="shared" si="3"/>
        <v>-14.285714285714285</v>
      </c>
      <c r="W27" s="943">
        <f t="shared" si="3"/>
        <v>-5.844597630559656</v>
      </c>
      <c r="X27" s="943">
        <f t="shared" si="3"/>
        <v>1.098901098901099</v>
      </c>
      <c r="Y27" s="943">
        <f t="shared" si="3"/>
        <v>-27.0232075791704</v>
      </c>
      <c r="Z27" s="943">
        <f t="shared" si="3"/>
        <v>6.161616161616162</v>
      </c>
      <c r="AA27" s="943">
        <f t="shared" si="3"/>
        <v>-2.221878912808611</v>
      </c>
      <c r="AB27" s="943">
        <f t="shared" si="3"/>
        <v>0.4887669353455668</v>
      </c>
      <c r="AC27" s="943">
        <f t="shared" si="3"/>
        <v>10.752587874565597</v>
      </c>
      <c r="AD27" s="943">
        <f t="shared" si="3"/>
        <v>1.4144271570014144</v>
      </c>
      <c r="AE27" s="943">
        <f t="shared" si="3"/>
        <v>5.276012153340876</v>
      </c>
      <c r="AF27" s="943">
        <f t="shared" si="3"/>
        <v>4.283137962128043</v>
      </c>
      <c r="AG27" s="943">
        <f t="shared" si="3"/>
        <v>19.506757810177987</v>
      </c>
      <c r="AH27" s="943">
        <f t="shared" si="3"/>
        <v>9.565217391304348</v>
      </c>
      <c r="AI27" s="943">
        <f t="shared" si="3"/>
        <v>13.874016594008786</v>
      </c>
      <c r="AJ27" s="943">
        <f t="shared" si="3"/>
        <v>3.4246575342465753</v>
      </c>
      <c r="AK27" s="943">
        <f t="shared" si="3"/>
        <v>9.066450041331603</v>
      </c>
      <c r="AL27" s="943">
        <f t="shared" si="3"/>
        <v>20</v>
      </c>
      <c r="AM27" s="943">
        <f t="shared" si="3"/>
        <v>40.811553485018244</v>
      </c>
      <c r="AN27" s="943">
        <f t="shared" si="3"/>
        <v>-0.22271714922048996</v>
      </c>
      <c r="AO27" s="943">
        <f t="shared" si="3"/>
        <v>6.661014880698798</v>
      </c>
      <c r="AP27" s="943">
        <f t="shared" si="3"/>
        <v>2.425373134328358</v>
      </c>
      <c r="AQ27" s="943">
        <f t="shared" si="3"/>
        <v>9.038330607475167</v>
      </c>
      <c r="AR27" s="978">
        <f t="shared" si="3"/>
        <v>-6.666666666666667</v>
      </c>
      <c r="AS27" s="943">
        <f t="shared" si="3"/>
        <v>43.37781676296305</v>
      </c>
      <c r="AT27" s="943">
        <f t="shared" si="3"/>
        <v>40</v>
      </c>
      <c r="AU27" s="943">
        <f t="shared" si="3"/>
        <v>0.718338098803533</v>
      </c>
      <c r="AV27" s="943">
        <f t="shared" si="3"/>
        <v>5.228758169934641</v>
      </c>
      <c r="AW27" s="943">
        <f t="shared" si="3"/>
        <v>5.296858490862255</v>
      </c>
      <c r="AX27" s="943">
        <f t="shared" si="3"/>
        <v>1.2751677852348993</v>
      </c>
      <c r="AY27" s="943">
        <f t="shared" si="3"/>
        <v>8.819846402734195</v>
      </c>
      <c r="AZ27" s="974">
        <v>0</v>
      </c>
      <c r="BA27" s="943">
        <f t="shared" si="3"/>
        <v>148.36841101303045</v>
      </c>
      <c r="BB27" s="562"/>
      <c r="BC27" s="562"/>
      <c r="BD27" s="562"/>
      <c r="BE27" s="562"/>
      <c r="BF27" s="562"/>
      <c r="BG27" s="562"/>
      <c r="BH27" s="562"/>
      <c r="BI27" s="562"/>
      <c r="BJ27" s="562"/>
      <c r="BK27" s="562"/>
      <c r="BL27" s="562"/>
    </row>
    <row r="28" spans="13:64" ht="33" customHeight="1" thickBot="1">
      <c r="M28" s="998"/>
      <c r="N28" s="999"/>
      <c r="O28" s="942"/>
      <c r="P28" s="942"/>
      <c r="Q28" s="943"/>
      <c r="R28" s="943"/>
      <c r="S28" s="943"/>
      <c r="T28" s="943"/>
      <c r="U28" s="943"/>
      <c r="V28" s="978"/>
      <c r="W28" s="943"/>
      <c r="X28" s="943"/>
      <c r="Y28" s="943"/>
      <c r="Z28" s="943"/>
      <c r="AA28" s="943"/>
      <c r="AB28" s="943"/>
      <c r="AC28" s="943"/>
      <c r="AD28" s="943"/>
      <c r="AE28" s="943"/>
      <c r="AF28" s="943"/>
      <c r="AG28" s="943"/>
      <c r="AH28" s="943"/>
      <c r="AI28" s="943"/>
      <c r="AJ28" s="943"/>
      <c r="AK28" s="943"/>
      <c r="AL28" s="943"/>
      <c r="AM28" s="943"/>
      <c r="AN28" s="943"/>
      <c r="AO28" s="943"/>
      <c r="AP28" s="943"/>
      <c r="AQ28" s="943"/>
      <c r="AR28" s="978"/>
      <c r="AS28" s="943"/>
      <c r="AT28" s="943"/>
      <c r="AU28" s="943"/>
      <c r="AV28" s="943"/>
      <c r="AW28" s="943"/>
      <c r="AX28" s="943"/>
      <c r="AY28" s="943"/>
      <c r="AZ28" s="974"/>
      <c r="BA28" s="943"/>
      <c r="BB28" s="562"/>
      <c r="BC28" s="562"/>
      <c r="BD28" s="562"/>
      <c r="BE28" s="562"/>
      <c r="BF28" s="562"/>
      <c r="BG28" s="562"/>
      <c r="BH28" s="562"/>
      <c r="BI28" s="562"/>
      <c r="BJ28" s="562"/>
      <c r="BK28" s="562"/>
      <c r="BL28" s="562"/>
    </row>
    <row r="29" spans="13:53" ht="22.5" customHeight="1">
      <c r="M29" s="1007" t="s">
        <v>1296</v>
      </c>
      <c r="N29" s="1007"/>
      <c r="O29" s="1007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515"/>
      <c r="AT29" s="515"/>
      <c r="AU29" s="515"/>
      <c r="AV29" s="515"/>
      <c r="AW29" s="515"/>
      <c r="AX29" s="515"/>
      <c r="AY29" s="515"/>
      <c r="AZ29" s="515"/>
      <c r="BA29" s="515"/>
    </row>
    <row r="30" spans="1:53" ht="24.75" customHeight="1">
      <c r="A30" s="899" t="s">
        <v>59</v>
      </c>
      <c r="B30" s="899"/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 t="s">
        <v>1329</v>
      </c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 t="s">
        <v>1222</v>
      </c>
      <c r="AA30" s="899"/>
      <c r="AB30" s="899"/>
      <c r="AC30" s="899"/>
      <c r="AD30" s="899"/>
      <c r="AE30" s="899"/>
      <c r="AF30" s="899"/>
      <c r="AG30" s="899"/>
      <c r="AH30" s="899"/>
      <c r="AI30" s="899"/>
      <c r="AJ30" s="899"/>
      <c r="AK30" s="899"/>
      <c r="AL30" s="899"/>
      <c r="AM30" s="899"/>
      <c r="AN30" s="899" t="s">
        <v>99</v>
      </c>
      <c r="AO30" s="899"/>
      <c r="AP30" s="899"/>
      <c r="AQ30" s="899"/>
      <c r="AR30" s="899"/>
      <c r="AS30" s="899"/>
      <c r="AT30" s="899"/>
      <c r="AU30" s="899"/>
      <c r="AV30" s="899"/>
      <c r="AW30" s="899"/>
      <c r="AX30" s="899"/>
      <c r="AY30" s="899"/>
      <c r="AZ30" s="899"/>
      <c r="BA30" s="899"/>
    </row>
    <row r="31" spans="13:34" ht="33" customHeight="1">
      <c r="M31" s="994"/>
      <c r="N31" s="995"/>
      <c r="O31" s="995"/>
      <c r="P31" s="995"/>
      <c r="Q31" s="995"/>
      <c r="R31" s="99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3:34" ht="33" customHeight="1">
      <c r="M32" s="555" t="s">
        <v>7</v>
      </c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996"/>
      <c r="Y32" s="996"/>
      <c r="Z32" s="996"/>
      <c r="AA32" s="996"/>
      <c r="AB32" s="996"/>
      <c r="AC32" s="996"/>
      <c r="AD32" s="996"/>
      <c r="AE32" s="996"/>
      <c r="AF32" s="996"/>
      <c r="AG32" s="996"/>
      <c r="AH32" s="996"/>
    </row>
    <row r="33" spans="13:64" ht="33" customHeight="1" hidden="1">
      <c r="M33" s="273" t="s">
        <v>975</v>
      </c>
      <c r="P33" s="90">
        <f>SUM(P34:P35)</f>
        <v>2189</v>
      </c>
      <c r="Q33" s="90">
        <f aca="true" t="shared" si="4" ref="Q33:AW33">SUM(Q34:Q35)</f>
        <v>341142.387</v>
      </c>
      <c r="R33" s="90">
        <f t="shared" si="4"/>
        <v>202</v>
      </c>
      <c r="S33" s="90">
        <f t="shared" si="4"/>
        <v>1623708.842</v>
      </c>
      <c r="T33" s="90">
        <f t="shared" si="4"/>
        <v>2051</v>
      </c>
      <c r="U33" s="90">
        <f t="shared" si="4"/>
        <v>15008149.785</v>
      </c>
      <c r="V33" s="90">
        <f t="shared" si="4"/>
        <v>13</v>
      </c>
      <c r="W33" s="90">
        <f t="shared" si="4"/>
        <v>75182.503</v>
      </c>
      <c r="X33" s="90">
        <f t="shared" si="4"/>
        <v>93</v>
      </c>
      <c r="Y33" s="90">
        <f t="shared" si="4"/>
        <v>153237.278</v>
      </c>
      <c r="Z33" s="90">
        <f t="shared" si="4"/>
        <v>1909</v>
      </c>
      <c r="AA33" s="90">
        <f t="shared" si="4"/>
        <v>7525076.249</v>
      </c>
      <c r="AB33" s="90">
        <f t="shared" si="4"/>
        <v>11616</v>
      </c>
      <c r="AC33" s="90">
        <f t="shared" si="4"/>
        <v>26390551.897</v>
      </c>
      <c r="AD33" s="90">
        <f t="shared" si="4"/>
        <v>706</v>
      </c>
      <c r="AE33" s="90">
        <f t="shared" si="4"/>
        <v>2583474.783</v>
      </c>
      <c r="AF33" s="90">
        <f t="shared" si="4"/>
        <v>2154</v>
      </c>
      <c r="AG33" s="90">
        <f t="shared" si="4"/>
        <v>1920051.937</v>
      </c>
      <c r="AH33" s="90">
        <f t="shared" si="4"/>
        <v>118</v>
      </c>
      <c r="AI33" s="90">
        <f t="shared" si="4"/>
        <v>919770.006</v>
      </c>
      <c r="AJ33" s="90">
        <f t="shared" si="4"/>
        <v>142</v>
      </c>
      <c r="AK33" s="90">
        <f t="shared" si="4"/>
        <v>2099403.062</v>
      </c>
      <c r="AL33" s="90">
        <f t="shared" si="4"/>
        <v>316</v>
      </c>
      <c r="AM33" s="90">
        <f t="shared" si="4"/>
        <v>740947.706</v>
      </c>
      <c r="AN33" s="90">
        <f t="shared" si="4"/>
        <v>440</v>
      </c>
      <c r="AO33" s="90">
        <f t="shared" si="4"/>
        <v>399702.08199999994</v>
      </c>
      <c r="AP33" s="90">
        <f t="shared" si="4"/>
        <v>519</v>
      </c>
      <c r="AQ33" s="90">
        <f t="shared" si="4"/>
        <v>520839.58400000003</v>
      </c>
      <c r="AR33" s="90">
        <f t="shared" si="4"/>
        <v>10</v>
      </c>
      <c r="AS33" s="90">
        <f t="shared" si="4"/>
        <v>6359.674</v>
      </c>
      <c r="AT33" s="90">
        <f t="shared" si="4"/>
        <v>5</v>
      </c>
      <c r="AU33" s="90">
        <f t="shared" si="4"/>
        <v>796</v>
      </c>
      <c r="AV33" s="90">
        <f t="shared" si="4"/>
        <v>444</v>
      </c>
      <c r="AW33" s="90">
        <f t="shared" si="4"/>
        <v>222872.22</v>
      </c>
      <c r="AX33" s="90">
        <f>SUM(AX34:AX35)</f>
        <v>1484</v>
      </c>
      <c r="AY33" s="90">
        <f>SUM(AY34:AY35)</f>
        <v>867696.7609999999</v>
      </c>
      <c r="AZ33" s="90">
        <f>SUM(AZ34:AZ35)</f>
        <v>0</v>
      </c>
      <c r="BA33" s="90">
        <f>SUM(BA34:BA35)</f>
        <v>14831.556999999999</v>
      </c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3:64" ht="33" customHeight="1" hidden="1">
      <c r="M34" s="273"/>
      <c r="N34" s="2">
        <f>P34+R34+T34+V34+X34+Z34+AB34+AD34+AF34+AH34+AJ34+AL34+AN34+AP34+AR34+AT34+AV34+AX34+AZ34</f>
        <v>10761</v>
      </c>
      <c r="O34" s="2">
        <f>Q34+S34+U34+W34+Y34+AA34+AC34+AE34+AG34+AI34+AK34+AM34+AO34+AQ34+AS34+AU34+AW34+AY34+BA34</f>
        <v>23357090.316999998</v>
      </c>
      <c r="P34" s="90">
        <v>460</v>
      </c>
      <c r="Q34" s="90">
        <v>108313.778</v>
      </c>
      <c r="R34" s="90">
        <v>41</v>
      </c>
      <c r="S34" s="90">
        <v>566286.172</v>
      </c>
      <c r="T34" s="90">
        <v>822</v>
      </c>
      <c r="U34" s="90">
        <v>4526253.104</v>
      </c>
      <c r="V34" s="90">
        <v>4</v>
      </c>
      <c r="W34" s="90">
        <v>34184.842</v>
      </c>
      <c r="X34" s="90">
        <v>44</v>
      </c>
      <c r="Y34" s="90">
        <v>58827.613</v>
      </c>
      <c r="Z34" s="90">
        <v>945</v>
      </c>
      <c r="AA34" s="90">
        <v>3101213.45</v>
      </c>
      <c r="AB34" s="90">
        <v>5332</v>
      </c>
      <c r="AC34" s="90">
        <v>9906245.93</v>
      </c>
      <c r="AD34" s="90">
        <v>306</v>
      </c>
      <c r="AE34" s="90">
        <v>837570.23</v>
      </c>
      <c r="AF34" s="90">
        <v>1165</v>
      </c>
      <c r="AG34" s="90">
        <v>1142206.71</v>
      </c>
      <c r="AH34" s="90">
        <v>52</v>
      </c>
      <c r="AI34" s="90">
        <v>861886.843</v>
      </c>
      <c r="AJ34" s="90">
        <v>48</v>
      </c>
      <c r="AK34" s="90">
        <v>874644.254</v>
      </c>
      <c r="AL34" s="90">
        <v>139</v>
      </c>
      <c r="AM34" s="90">
        <v>531603.56</v>
      </c>
      <c r="AN34" s="90">
        <v>221</v>
      </c>
      <c r="AO34" s="90">
        <v>121302.862</v>
      </c>
      <c r="AP34" s="90">
        <v>251</v>
      </c>
      <c r="AQ34" s="90">
        <v>187019.132</v>
      </c>
      <c r="AR34" s="90">
        <v>4</v>
      </c>
      <c r="AS34" s="90">
        <v>5681.202</v>
      </c>
      <c r="AT34" s="90">
        <v>1</v>
      </c>
      <c r="AU34" s="90">
        <v>0</v>
      </c>
      <c r="AV34" s="90">
        <v>227</v>
      </c>
      <c r="AW34" s="90">
        <v>91809.831</v>
      </c>
      <c r="AX34" s="90">
        <v>699</v>
      </c>
      <c r="AY34" s="90">
        <v>396879.475</v>
      </c>
      <c r="AZ34" s="90">
        <v>0</v>
      </c>
      <c r="BA34" s="90">
        <v>5161.329</v>
      </c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3:64" ht="33" customHeight="1" hidden="1">
      <c r="M35" s="273"/>
      <c r="N35" s="2">
        <f>P35+R35+T35+V35+X35+Z35+AB35+AD35+AF35+AH35+AJ35+AL35+AN35+AP35+AR35+AT35+AV35+AX35+AZ35</f>
        <v>13650</v>
      </c>
      <c r="O35" s="2">
        <f>Q35+S35+U35+W35+Y35+AA35+AC35+AE35+AG35+AI35+AK35+AM35+AO35+AQ35+AS35+AU35+AW35+AY35+BA35</f>
        <v>38056703.99599999</v>
      </c>
      <c r="P35" s="90">
        <v>1729</v>
      </c>
      <c r="Q35" s="90">
        <v>232828.609</v>
      </c>
      <c r="R35" s="90">
        <v>161</v>
      </c>
      <c r="S35" s="90">
        <v>1057422.67</v>
      </c>
      <c r="T35" s="90">
        <v>1229</v>
      </c>
      <c r="U35" s="90">
        <v>10481896.681</v>
      </c>
      <c r="V35" s="90">
        <v>9</v>
      </c>
      <c r="W35" s="90">
        <v>40997.661</v>
      </c>
      <c r="X35" s="90">
        <v>49</v>
      </c>
      <c r="Y35" s="90">
        <v>94409.665</v>
      </c>
      <c r="Z35" s="90">
        <v>964</v>
      </c>
      <c r="AA35" s="90">
        <v>4423862.799</v>
      </c>
      <c r="AB35" s="90">
        <v>6284</v>
      </c>
      <c r="AC35" s="90">
        <v>16484305.967</v>
      </c>
      <c r="AD35" s="90">
        <v>400</v>
      </c>
      <c r="AE35" s="90">
        <v>1745904.553</v>
      </c>
      <c r="AF35" s="90">
        <v>989</v>
      </c>
      <c r="AG35" s="90">
        <v>777845.227</v>
      </c>
      <c r="AH35" s="90">
        <v>66</v>
      </c>
      <c r="AI35" s="90">
        <v>57883.163</v>
      </c>
      <c r="AJ35" s="90">
        <v>94</v>
      </c>
      <c r="AK35" s="90">
        <v>1224758.808</v>
      </c>
      <c r="AL35" s="90">
        <v>177</v>
      </c>
      <c r="AM35" s="90">
        <v>209344.146</v>
      </c>
      <c r="AN35" s="90">
        <v>219</v>
      </c>
      <c r="AO35" s="90">
        <v>278399.22</v>
      </c>
      <c r="AP35" s="90">
        <v>268</v>
      </c>
      <c r="AQ35" s="90">
        <v>333820.452</v>
      </c>
      <c r="AR35" s="90">
        <v>6</v>
      </c>
      <c r="AS35" s="90">
        <v>678.472</v>
      </c>
      <c r="AT35" s="90">
        <v>4</v>
      </c>
      <c r="AU35" s="90">
        <v>796</v>
      </c>
      <c r="AV35" s="90">
        <v>217</v>
      </c>
      <c r="AW35" s="90">
        <v>131062.389</v>
      </c>
      <c r="AX35" s="90">
        <v>785</v>
      </c>
      <c r="AY35" s="90">
        <v>470817.286</v>
      </c>
      <c r="AZ35" s="90">
        <v>0</v>
      </c>
      <c r="BA35" s="90">
        <v>9670.228</v>
      </c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3:64" ht="33" customHeight="1" hidden="1">
      <c r="M36" s="273" t="s">
        <v>961</v>
      </c>
      <c r="P36" s="90">
        <f>SUM(P37:P38)</f>
        <v>2184</v>
      </c>
      <c r="Q36" s="90">
        <f aca="true" t="shared" si="5" ref="Q36:BA36">SUM(Q37:Q38)</f>
        <v>734806.213</v>
      </c>
      <c r="R36" s="90">
        <f t="shared" si="5"/>
        <v>205</v>
      </c>
      <c r="S36" s="90">
        <f t="shared" si="5"/>
        <v>3331589.88</v>
      </c>
      <c r="T36" s="90">
        <f t="shared" si="5"/>
        <v>2056</v>
      </c>
      <c r="U36" s="90">
        <f t="shared" si="5"/>
        <v>33183793.216</v>
      </c>
      <c r="V36" s="90">
        <f t="shared" si="5"/>
        <v>14</v>
      </c>
      <c r="W36" s="90">
        <f t="shared" si="5"/>
        <v>136896.391</v>
      </c>
      <c r="X36" s="90">
        <f t="shared" si="5"/>
        <v>90</v>
      </c>
      <c r="Y36" s="90">
        <f t="shared" si="5"/>
        <v>474296.74899999995</v>
      </c>
      <c r="Z36" s="90">
        <f t="shared" si="5"/>
        <v>1935</v>
      </c>
      <c r="AA36" s="90">
        <f t="shared" si="5"/>
        <v>15792128.206999999</v>
      </c>
      <c r="AB36" s="90">
        <f t="shared" si="5"/>
        <v>11649</v>
      </c>
      <c r="AC36" s="90">
        <f t="shared" si="5"/>
        <v>54813617.486</v>
      </c>
      <c r="AD36" s="90">
        <f t="shared" si="5"/>
        <v>704</v>
      </c>
      <c r="AE36" s="90">
        <f t="shared" si="5"/>
        <v>5469349.029</v>
      </c>
      <c r="AF36" s="90">
        <f t="shared" si="5"/>
        <v>2195</v>
      </c>
      <c r="AG36" s="90">
        <f t="shared" si="5"/>
        <v>4156028.9749999996</v>
      </c>
      <c r="AH36" s="90">
        <f t="shared" si="5"/>
        <v>118</v>
      </c>
      <c r="AI36" s="90">
        <f t="shared" si="5"/>
        <v>2058764.908</v>
      </c>
      <c r="AJ36" s="90">
        <f t="shared" si="5"/>
        <v>143</v>
      </c>
      <c r="AK36" s="90">
        <f t="shared" si="5"/>
        <v>4228391.961</v>
      </c>
      <c r="AL36" s="90">
        <f t="shared" si="5"/>
        <v>313</v>
      </c>
      <c r="AM36" s="90">
        <f t="shared" si="5"/>
        <v>1566658.174</v>
      </c>
      <c r="AN36" s="90">
        <f t="shared" si="5"/>
        <v>453</v>
      </c>
      <c r="AO36" s="90">
        <f t="shared" si="5"/>
        <v>854297.064</v>
      </c>
      <c r="AP36" s="90">
        <f t="shared" si="5"/>
        <v>530</v>
      </c>
      <c r="AQ36" s="90">
        <f t="shared" si="5"/>
        <v>1049320.599</v>
      </c>
      <c r="AR36" s="90">
        <f t="shared" si="5"/>
        <v>14</v>
      </c>
      <c r="AS36" s="90">
        <f t="shared" si="5"/>
        <v>21229.886</v>
      </c>
      <c r="AT36" s="90">
        <f t="shared" si="5"/>
        <v>5</v>
      </c>
      <c r="AU36" s="90">
        <f t="shared" si="5"/>
        <v>1592</v>
      </c>
      <c r="AV36" s="90">
        <f t="shared" si="5"/>
        <v>453</v>
      </c>
      <c r="AW36" s="90">
        <f t="shared" si="5"/>
        <v>467380.387</v>
      </c>
      <c r="AX36" s="90">
        <f t="shared" si="5"/>
        <v>1485</v>
      </c>
      <c r="AY36" s="90">
        <f t="shared" si="5"/>
        <v>1753650.275</v>
      </c>
      <c r="AZ36" s="90">
        <f t="shared" si="5"/>
        <v>0</v>
      </c>
      <c r="BA36" s="90">
        <f t="shared" si="5"/>
        <v>31931.582000000002</v>
      </c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7" spans="13:64" ht="33" customHeight="1" hidden="1">
      <c r="M37" s="273"/>
      <c r="N37" s="2">
        <f>P37+R37+T37+V37+X37+Z37+AB37+AD37+AF37+AH37+AJ37+AL37+AN37+AP37+AR37+AT37+AV37+AX37+AZ37</f>
        <v>10822</v>
      </c>
      <c r="O37" s="2">
        <f>Q37+S37+U37+W37+Y37+AA37+AC37+AE37+AG37+AI37+AK37+AM37+AO37+AQ37+AS37+AU37+AW37+AY37+BA37</f>
        <v>48508094.80700001</v>
      </c>
      <c r="P37" s="90">
        <v>464</v>
      </c>
      <c r="Q37" s="90">
        <v>244932.512</v>
      </c>
      <c r="R37" s="90">
        <v>44</v>
      </c>
      <c r="S37" s="90">
        <v>1110443.836</v>
      </c>
      <c r="T37" s="90">
        <v>820</v>
      </c>
      <c r="U37" s="90">
        <v>9784669.123</v>
      </c>
      <c r="V37" s="90">
        <v>5</v>
      </c>
      <c r="W37" s="90">
        <v>61637.064</v>
      </c>
      <c r="X37" s="90">
        <v>43</v>
      </c>
      <c r="Y37" s="90">
        <v>197127.34</v>
      </c>
      <c r="Z37" s="90">
        <v>959</v>
      </c>
      <c r="AA37" s="90">
        <v>6454397.538</v>
      </c>
      <c r="AB37" s="90">
        <v>5336</v>
      </c>
      <c r="AC37" s="90">
        <v>19947480.955</v>
      </c>
      <c r="AD37" s="90">
        <v>306</v>
      </c>
      <c r="AE37" s="90">
        <v>1749839.359</v>
      </c>
      <c r="AF37" s="90">
        <v>1181</v>
      </c>
      <c r="AG37" s="90">
        <v>2416027.332</v>
      </c>
      <c r="AH37" s="90">
        <v>52</v>
      </c>
      <c r="AI37" s="90">
        <v>1943019.662</v>
      </c>
      <c r="AJ37" s="90">
        <v>51</v>
      </c>
      <c r="AK37" s="90">
        <v>1816676.35</v>
      </c>
      <c r="AL37" s="90">
        <v>137</v>
      </c>
      <c r="AM37" s="90">
        <v>1075735.314</v>
      </c>
      <c r="AN37" s="90">
        <v>230</v>
      </c>
      <c r="AO37" s="90">
        <v>270889.952</v>
      </c>
      <c r="AP37" s="90">
        <v>258</v>
      </c>
      <c r="AQ37" s="90">
        <v>385233.295</v>
      </c>
      <c r="AR37" s="90">
        <v>5</v>
      </c>
      <c r="AS37" s="90">
        <v>14021.764</v>
      </c>
      <c r="AT37" s="90">
        <v>1</v>
      </c>
      <c r="AU37" s="90">
        <v>0</v>
      </c>
      <c r="AV37" s="90">
        <v>229</v>
      </c>
      <c r="AW37" s="90">
        <v>192591.383</v>
      </c>
      <c r="AX37" s="90">
        <v>701</v>
      </c>
      <c r="AY37" s="90">
        <v>834791.792</v>
      </c>
      <c r="AZ37" s="90">
        <v>0</v>
      </c>
      <c r="BA37" s="90">
        <v>8580.236</v>
      </c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3:64" ht="33" customHeight="1" hidden="1">
      <c r="M38" s="273"/>
      <c r="N38" s="2">
        <f>P38+R38+T38+V38+X38+Z38+AB38+AD38+AF38+AH38+AJ38+AL38+AN38+AP38+AR38+AT38+AV38+AX38+AZ38</f>
        <v>13724</v>
      </c>
      <c r="O38" s="2">
        <f>Q38+S38+U38+W38+Y38+AA38+AC38+AE38+AG38+AI38+AK38+AM38+AO38+AQ38+AS38+AU38+AW38+AY38+BA38</f>
        <v>81617628.17500001</v>
      </c>
      <c r="P38" s="90">
        <v>1720</v>
      </c>
      <c r="Q38" s="90">
        <v>489873.701</v>
      </c>
      <c r="R38" s="90">
        <v>161</v>
      </c>
      <c r="S38" s="90">
        <v>2221146.044</v>
      </c>
      <c r="T38" s="90">
        <v>1236</v>
      </c>
      <c r="U38" s="90">
        <v>23399124.093</v>
      </c>
      <c r="V38" s="90">
        <v>9</v>
      </c>
      <c r="W38" s="90">
        <v>75259.327</v>
      </c>
      <c r="X38" s="90">
        <v>47</v>
      </c>
      <c r="Y38" s="90">
        <v>277169.409</v>
      </c>
      <c r="Z38" s="90">
        <v>976</v>
      </c>
      <c r="AA38" s="90">
        <v>9337730.669</v>
      </c>
      <c r="AB38" s="90">
        <v>6313</v>
      </c>
      <c r="AC38" s="90">
        <v>34866136.531</v>
      </c>
      <c r="AD38" s="90">
        <v>398</v>
      </c>
      <c r="AE38" s="90">
        <v>3719509.67</v>
      </c>
      <c r="AF38" s="90">
        <v>1014</v>
      </c>
      <c r="AG38" s="90">
        <v>1740001.643</v>
      </c>
      <c r="AH38" s="90">
        <v>66</v>
      </c>
      <c r="AI38" s="90">
        <v>115745.246</v>
      </c>
      <c r="AJ38" s="90">
        <v>92</v>
      </c>
      <c r="AK38" s="90">
        <v>2411715.611</v>
      </c>
      <c r="AL38" s="90">
        <v>176</v>
      </c>
      <c r="AM38" s="90">
        <v>490922.86</v>
      </c>
      <c r="AN38" s="90">
        <v>223</v>
      </c>
      <c r="AO38" s="90">
        <v>583407.112</v>
      </c>
      <c r="AP38" s="90">
        <v>272</v>
      </c>
      <c r="AQ38" s="90">
        <v>664087.304</v>
      </c>
      <c r="AR38" s="90">
        <v>9</v>
      </c>
      <c r="AS38" s="90">
        <v>7208.122</v>
      </c>
      <c r="AT38" s="90">
        <v>4</v>
      </c>
      <c r="AU38" s="90">
        <v>1592</v>
      </c>
      <c r="AV38" s="90">
        <v>224</v>
      </c>
      <c r="AW38" s="90">
        <v>274789.004</v>
      </c>
      <c r="AX38" s="90">
        <v>784</v>
      </c>
      <c r="AY38" s="90">
        <v>918858.483</v>
      </c>
      <c r="AZ38" s="90">
        <v>0</v>
      </c>
      <c r="BA38" s="90">
        <v>23351.346</v>
      </c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3:64" ht="33" customHeight="1" hidden="1">
      <c r="M39" s="273" t="s">
        <v>962</v>
      </c>
      <c r="P39" s="90">
        <f>SUM(P40:P41)</f>
        <v>2180</v>
      </c>
      <c r="Q39" s="90">
        <f aca="true" t="shared" si="6" ref="Q39:BA39">SUM(Q40:Q41)</f>
        <v>1132582.841</v>
      </c>
      <c r="R39" s="90">
        <f t="shared" si="6"/>
        <v>197</v>
      </c>
      <c r="S39" s="90">
        <f t="shared" si="6"/>
        <v>5209474.431</v>
      </c>
      <c r="T39" s="90">
        <f t="shared" si="6"/>
        <v>2063</v>
      </c>
      <c r="U39" s="90">
        <f t="shared" si="6"/>
        <v>53704941.56</v>
      </c>
      <c r="V39" s="90">
        <f t="shared" si="6"/>
        <v>14</v>
      </c>
      <c r="W39" s="90">
        <f t="shared" si="6"/>
        <v>219198.019</v>
      </c>
      <c r="X39" s="90">
        <f t="shared" si="6"/>
        <v>91</v>
      </c>
      <c r="Y39" s="90">
        <f t="shared" si="6"/>
        <v>904973.121</v>
      </c>
      <c r="Z39" s="90">
        <f t="shared" si="6"/>
        <v>1980</v>
      </c>
      <c r="AA39" s="90">
        <f t="shared" si="6"/>
        <v>26280697.123</v>
      </c>
      <c r="AB39" s="90">
        <f t="shared" si="6"/>
        <v>11662</v>
      </c>
      <c r="AC39" s="90">
        <f t="shared" si="6"/>
        <v>85297837.06400001</v>
      </c>
      <c r="AD39" s="90">
        <f t="shared" si="6"/>
        <v>707</v>
      </c>
      <c r="AE39" s="90">
        <f t="shared" si="6"/>
        <v>8581633.993999999</v>
      </c>
      <c r="AF39" s="90">
        <f t="shared" si="6"/>
        <v>2218</v>
      </c>
      <c r="AG39" s="90">
        <f t="shared" si="6"/>
        <v>6271010.178</v>
      </c>
      <c r="AH39" s="90">
        <f t="shared" si="6"/>
        <v>115</v>
      </c>
      <c r="AI39" s="90">
        <f t="shared" si="6"/>
        <v>3217300.1520000002</v>
      </c>
      <c r="AJ39" s="90">
        <f t="shared" si="6"/>
        <v>146</v>
      </c>
      <c r="AK39" s="90">
        <f t="shared" si="6"/>
        <v>6495108.67</v>
      </c>
      <c r="AL39" s="90">
        <f t="shared" si="6"/>
        <v>320</v>
      </c>
      <c r="AM39" s="90">
        <f t="shared" si="6"/>
        <v>2257923.051</v>
      </c>
      <c r="AN39" s="90">
        <f t="shared" si="6"/>
        <v>449</v>
      </c>
      <c r="AO39" s="90">
        <f t="shared" si="6"/>
        <v>1352491.207</v>
      </c>
      <c r="AP39" s="90">
        <f t="shared" si="6"/>
        <v>536</v>
      </c>
      <c r="AQ39" s="90">
        <f t="shared" si="6"/>
        <v>1674103.653</v>
      </c>
      <c r="AR39" s="90">
        <f t="shared" si="6"/>
        <v>15</v>
      </c>
      <c r="AS39" s="90">
        <f t="shared" si="6"/>
        <v>39931.007</v>
      </c>
      <c r="AT39" s="90">
        <f t="shared" si="6"/>
        <v>5</v>
      </c>
      <c r="AU39" s="90">
        <f t="shared" si="6"/>
        <v>2388.004</v>
      </c>
      <c r="AV39" s="90">
        <f t="shared" si="6"/>
        <v>459</v>
      </c>
      <c r="AW39" s="90">
        <f t="shared" si="6"/>
        <v>691846.04</v>
      </c>
      <c r="AX39" s="90">
        <f t="shared" si="6"/>
        <v>1490</v>
      </c>
      <c r="AY39" s="90">
        <f t="shared" si="6"/>
        <v>2703886.721</v>
      </c>
      <c r="AZ39" s="90">
        <f t="shared" si="6"/>
        <v>0</v>
      </c>
      <c r="BA39" s="90">
        <f t="shared" si="6"/>
        <v>37116.313</v>
      </c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</row>
    <row r="40" spans="14:61" ht="33" customHeight="1" hidden="1">
      <c r="N40" s="2">
        <f>P40+R40+T40+V40+X40+Z40+AB40+AD40+AF40+AH40+AJ40+AL40+AN40+AP40+AR40+AT40+AV40+AX40+AZ40</f>
        <v>10867</v>
      </c>
      <c r="O40" s="2">
        <f>Q40+S40+U40+W40+Y40+AA40+AC40+AE40+AG40+AI40+AK40+AM40+AO40+AQ40+AS40+AU40+AW40+AY40+BA40</f>
        <v>75407806.443</v>
      </c>
      <c r="P40" s="90">
        <v>464</v>
      </c>
      <c r="Q40" s="90">
        <v>360888.589</v>
      </c>
      <c r="R40" s="90">
        <v>44</v>
      </c>
      <c r="S40" s="90">
        <v>1714699.895</v>
      </c>
      <c r="T40" s="90">
        <v>813</v>
      </c>
      <c r="U40" s="90">
        <v>15145915.062</v>
      </c>
      <c r="V40" s="90">
        <v>5</v>
      </c>
      <c r="W40" s="90">
        <v>99014.336</v>
      </c>
      <c r="X40" s="90">
        <v>42</v>
      </c>
      <c r="Y40" s="90">
        <v>428056.479</v>
      </c>
      <c r="Z40" s="90">
        <v>977</v>
      </c>
      <c r="AA40" s="90">
        <v>10507471.972</v>
      </c>
      <c r="AB40" s="90">
        <v>5354</v>
      </c>
      <c r="AC40" s="90">
        <v>30688821.692</v>
      </c>
      <c r="AD40" s="90">
        <v>308</v>
      </c>
      <c r="AE40" s="90">
        <v>2724420.318</v>
      </c>
      <c r="AF40" s="90">
        <v>1185</v>
      </c>
      <c r="AG40" s="90">
        <v>3675898.816</v>
      </c>
      <c r="AH40" s="90">
        <v>50</v>
      </c>
      <c r="AI40" s="90">
        <v>3032593.487</v>
      </c>
      <c r="AJ40" s="90">
        <v>52</v>
      </c>
      <c r="AK40" s="90">
        <v>2845412.982</v>
      </c>
      <c r="AL40" s="90">
        <v>142</v>
      </c>
      <c r="AM40" s="90">
        <v>1460969.788</v>
      </c>
      <c r="AN40" s="90">
        <v>232</v>
      </c>
      <c r="AO40" s="90">
        <v>459415.832</v>
      </c>
      <c r="AP40" s="90">
        <v>262</v>
      </c>
      <c r="AQ40" s="90">
        <v>635733.848</v>
      </c>
      <c r="AR40" s="90">
        <v>7</v>
      </c>
      <c r="AS40" s="90">
        <v>19843.362</v>
      </c>
      <c r="AT40" s="90">
        <v>1</v>
      </c>
      <c r="AU40" s="90">
        <v>0.004</v>
      </c>
      <c r="AV40" s="90">
        <v>227</v>
      </c>
      <c r="AW40" s="90">
        <v>288743.51</v>
      </c>
      <c r="AX40" s="90">
        <v>702</v>
      </c>
      <c r="AY40" s="90">
        <v>1307772.122</v>
      </c>
      <c r="AZ40" s="90">
        <v>0</v>
      </c>
      <c r="BA40" s="90">
        <v>12134.349</v>
      </c>
      <c r="BB40" s="90"/>
      <c r="BC40" s="90"/>
      <c r="BD40" s="90"/>
      <c r="BE40" s="90"/>
      <c r="BF40" s="90"/>
      <c r="BG40" s="90"/>
      <c r="BH40" s="10"/>
      <c r="BI40" s="10"/>
    </row>
    <row r="41" spans="14:61" ht="33" customHeight="1" hidden="1">
      <c r="N41" s="2">
        <f>P41+R41+T41+V41+X41+Z41+AB41+AD41+AF41+AH41+AJ41+AL41+AN41+AP41+AR41+AT41+AV41+AX41+AZ41</f>
        <v>13780</v>
      </c>
      <c r="O41" s="565">
        <f>Q41+S41+U41+W41+Y41+AA41+AC41+AE41+AG41+AI41+AK41+AM41+AO41+AQ41+AS41+AU41+AW41+AY41+BA41</f>
        <v>130666636.70600002</v>
      </c>
      <c r="P41" s="90">
        <v>1716</v>
      </c>
      <c r="Q41" s="90">
        <v>771694.252</v>
      </c>
      <c r="R41" s="90">
        <v>153</v>
      </c>
      <c r="S41" s="90">
        <v>3494774.536</v>
      </c>
      <c r="T41" s="90">
        <v>1250</v>
      </c>
      <c r="U41" s="90">
        <v>38559026.498</v>
      </c>
      <c r="V41" s="90">
        <v>9</v>
      </c>
      <c r="W41" s="90">
        <v>120183.683</v>
      </c>
      <c r="X41" s="90">
        <v>49</v>
      </c>
      <c r="Y41" s="90">
        <v>476916.642</v>
      </c>
      <c r="Z41" s="90">
        <v>1003</v>
      </c>
      <c r="AA41" s="90">
        <v>15773225.151</v>
      </c>
      <c r="AB41" s="90">
        <v>6308</v>
      </c>
      <c r="AC41" s="90">
        <v>54609015.372</v>
      </c>
      <c r="AD41" s="90">
        <v>399</v>
      </c>
      <c r="AE41" s="90">
        <v>5857213.676</v>
      </c>
      <c r="AF41" s="90">
        <v>1033</v>
      </c>
      <c r="AG41" s="90">
        <v>2595111.362</v>
      </c>
      <c r="AH41" s="90">
        <v>65</v>
      </c>
      <c r="AI41" s="90">
        <v>184706.665</v>
      </c>
      <c r="AJ41" s="90">
        <v>94</v>
      </c>
      <c r="AK41" s="90">
        <v>3649695.688</v>
      </c>
      <c r="AL41" s="90">
        <v>178</v>
      </c>
      <c r="AM41" s="90">
        <v>796953.263</v>
      </c>
      <c r="AN41" s="90">
        <v>217</v>
      </c>
      <c r="AO41" s="90">
        <v>893075.375</v>
      </c>
      <c r="AP41" s="90">
        <v>274</v>
      </c>
      <c r="AQ41" s="90">
        <v>1038369.805</v>
      </c>
      <c r="AR41" s="90">
        <v>8</v>
      </c>
      <c r="AS41" s="90">
        <v>20087.645</v>
      </c>
      <c r="AT41" s="90">
        <v>4</v>
      </c>
      <c r="AU41" s="90">
        <v>2388</v>
      </c>
      <c r="AV41" s="90">
        <v>232</v>
      </c>
      <c r="AW41" s="90">
        <v>403102.53</v>
      </c>
      <c r="AX41" s="90">
        <v>788</v>
      </c>
      <c r="AY41" s="90">
        <v>1396114.599</v>
      </c>
      <c r="AZ41" s="90">
        <v>0</v>
      </c>
      <c r="BA41" s="90">
        <v>24981.964</v>
      </c>
      <c r="BB41" s="90"/>
      <c r="BC41" s="90"/>
      <c r="BD41" s="90"/>
      <c r="BE41" s="90"/>
      <c r="BF41" s="90"/>
      <c r="BG41" s="90"/>
      <c r="BH41" s="10"/>
      <c r="BI41" s="10"/>
    </row>
    <row r="42" spans="4:64" ht="33" customHeight="1">
      <c r="D42" s="556"/>
      <c r="E42" s="563"/>
      <c r="F42" s="563"/>
      <c r="M42" s="273" t="s">
        <v>960</v>
      </c>
      <c r="P42" s="90">
        <f>SUM(P43:P44)</f>
        <v>2169</v>
      </c>
      <c r="Q42" s="90">
        <f aca="true" t="shared" si="7" ref="Q42:AW42">SUM(Q43:Q44)</f>
        <v>344208.65</v>
      </c>
      <c r="R42" s="90">
        <f t="shared" si="7"/>
        <v>190</v>
      </c>
      <c r="S42" s="90">
        <f t="shared" si="7"/>
        <v>1616141.711</v>
      </c>
      <c r="T42" s="90">
        <f t="shared" si="7"/>
        <v>2041</v>
      </c>
      <c r="U42" s="90">
        <f t="shared" si="7"/>
        <v>19756951.391</v>
      </c>
      <c r="V42" s="90">
        <f t="shared" si="7"/>
        <v>13</v>
      </c>
      <c r="W42" s="90">
        <f t="shared" si="7"/>
        <v>88896.591</v>
      </c>
      <c r="X42" s="90">
        <f t="shared" si="7"/>
        <v>92</v>
      </c>
      <c r="Y42" s="90">
        <f t="shared" si="7"/>
        <v>261005.5</v>
      </c>
      <c r="Z42" s="90">
        <f t="shared" si="7"/>
        <v>2036</v>
      </c>
      <c r="AA42" s="90">
        <f t="shared" si="7"/>
        <v>7265132.459</v>
      </c>
      <c r="AB42" s="90">
        <f t="shared" si="7"/>
        <v>11675</v>
      </c>
      <c r="AC42" s="90">
        <f t="shared" si="7"/>
        <v>28931038.832000002</v>
      </c>
      <c r="AD42" s="90">
        <f t="shared" si="7"/>
        <v>708</v>
      </c>
      <c r="AE42" s="90">
        <f t="shared" si="7"/>
        <v>2917726.019</v>
      </c>
      <c r="AF42" s="90">
        <f t="shared" si="7"/>
        <v>2243</v>
      </c>
      <c r="AG42" s="90">
        <f t="shared" si="7"/>
        <v>2491247.163</v>
      </c>
      <c r="AH42" s="90">
        <f t="shared" si="7"/>
        <v>117</v>
      </c>
      <c r="AI42" s="90">
        <f t="shared" si="7"/>
        <v>1120553.759</v>
      </c>
      <c r="AJ42" s="90">
        <f t="shared" si="7"/>
        <v>142</v>
      </c>
      <c r="AK42" s="90">
        <f t="shared" si="7"/>
        <v>2169825.773</v>
      </c>
      <c r="AL42" s="90">
        <f t="shared" si="7"/>
        <v>335</v>
      </c>
      <c r="AM42" s="90">
        <f t="shared" si="7"/>
        <v>843909.875</v>
      </c>
      <c r="AN42" s="90">
        <f t="shared" si="7"/>
        <v>444</v>
      </c>
      <c r="AO42" s="90">
        <f t="shared" si="7"/>
        <v>351430.396</v>
      </c>
      <c r="AP42" s="90">
        <f t="shared" si="7"/>
        <v>535</v>
      </c>
      <c r="AQ42" s="90">
        <f t="shared" si="7"/>
        <v>536192.694</v>
      </c>
      <c r="AR42" s="90">
        <f t="shared" si="7"/>
        <v>15</v>
      </c>
      <c r="AS42" s="90">
        <f t="shared" si="7"/>
        <v>9876.372</v>
      </c>
      <c r="AT42" s="90">
        <f t="shared" si="7"/>
        <v>6</v>
      </c>
      <c r="AU42" s="90">
        <f t="shared" si="7"/>
        <v>796.004</v>
      </c>
      <c r="AV42" s="90">
        <f t="shared" si="7"/>
        <v>467</v>
      </c>
      <c r="AW42" s="90">
        <f t="shared" si="7"/>
        <v>220717.44700000001</v>
      </c>
      <c r="AX42" s="90">
        <f>SUM(AX43:AX44)</f>
        <v>1504</v>
      </c>
      <c r="AY42" s="90">
        <f>SUM(AY43:AY44)</f>
        <v>896943.632</v>
      </c>
      <c r="AZ42" s="90">
        <f>SUM(AZ43:AZ44)</f>
        <v>0</v>
      </c>
      <c r="BA42" s="90">
        <f>SUM(BA43:BA44)</f>
        <v>6263.697</v>
      </c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</row>
    <row r="43" spans="4:64" ht="33" customHeight="1">
      <c r="D43" s="556"/>
      <c r="E43" s="563"/>
      <c r="F43" s="563"/>
      <c r="M43" s="273"/>
      <c r="N43" s="2">
        <f>P43+R43+T43+V43+X43+Z43+AB43+AD43+AF43+AH43+AJ43+AL43+AN43+AP43+AR43+AT43+AV43+AX43+AZ43</f>
        <v>10891</v>
      </c>
      <c r="O43" s="15">
        <f>Q43+S43+U43+W43+Y43+AA43+AC43+AE43+AG43+AI43+AK43+AM43+AO43+AQ43+AS43+AU43+AW43+AY43+BA43</f>
        <v>24464283.183000006</v>
      </c>
      <c r="P43" s="90">
        <v>453</v>
      </c>
      <c r="Q43" s="90">
        <v>144244.31</v>
      </c>
      <c r="R43" s="90">
        <v>44</v>
      </c>
      <c r="S43" s="90">
        <v>560698.649</v>
      </c>
      <c r="T43" s="90">
        <v>800</v>
      </c>
      <c r="U43" s="90">
        <v>4765870.326</v>
      </c>
      <c r="V43" s="90">
        <v>4</v>
      </c>
      <c r="W43" s="90">
        <v>46791.262</v>
      </c>
      <c r="X43" s="90">
        <v>44</v>
      </c>
      <c r="Y43" s="90">
        <v>81937.183</v>
      </c>
      <c r="Z43" s="90">
        <v>1003</v>
      </c>
      <c r="AA43" s="90">
        <v>2925508.408</v>
      </c>
      <c r="AB43" s="90">
        <v>5360</v>
      </c>
      <c r="AC43" s="90">
        <v>10203767.442</v>
      </c>
      <c r="AD43" s="90">
        <v>309</v>
      </c>
      <c r="AE43" s="90">
        <v>824868.092</v>
      </c>
      <c r="AF43" s="90">
        <v>1188</v>
      </c>
      <c r="AG43" s="90">
        <v>1539909.179</v>
      </c>
      <c r="AH43" s="90">
        <v>50</v>
      </c>
      <c r="AI43" s="90">
        <v>1070153.362</v>
      </c>
      <c r="AJ43" s="90">
        <v>50</v>
      </c>
      <c r="AK43" s="90">
        <v>970567.204</v>
      </c>
      <c r="AL43" s="90">
        <v>145</v>
      </c>
      <c r="AM43" s="90">
        <v>468602.499</v>
      </c>
      <c r="AN43" s="90">
        <v>231</v>
      </c>
      <c r="AO43" s="90">
        <v>140519.782</v>
      </c>
      <c r="AP43" s="90">
        <v>260</v>
      </c>
      <c r="AQ43" s="90">
        <v>214370.635</v>
      </c>
      <c r="AR43" s="90">
        <v>7</v>
      </c>
      <c r="AS43" s="90">
        <v>6679.44</v>
      </c>
      <c r="AT43" s="90">
        <v>2</v>
      </c>
      <c r="AU43" s="90">
        <v>0.004</v>
      </c>
      <c r="AV43" s="90">
        <v>232</v>
      </c>
      <c r="AW43" s="90">
        <v>87735.214</v>
      </c>
      <c r="AX43" s="90">
        <v>709</v>
      </c>
      <c r="AY43" s="90">
        <v>409142.862</v>
      </c>
      <c r="AZ43" s="90">
        <v>0</v>
      </c>
      <c r="BA43" s="90">
        <v>2917.33</v>
      </c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</row>
    <row r="44" spans="4:64" ht="33" customHeight="1">
      <c r="D44" s="556"/>
      <c r="E44" s="563"/>
      <c r="F44" s="563"/>
      <c r="M44" s="273"/>
      <c r="N44" s="2">
        <f>P44+R44+T44+V44+X44+Z44+AB44+AD44+AF44+AH44+AJ44+AL44+AN44+AP44+AR44+AT44+AV44+AX44+AZ44</f>
        <v>13841</v>
      </c>
      <c r="O44" s="15">
        <f>Q44+S44+U44+W44+Y44+AA44+AC44+AE44+AG44+AI44+AK44+AM44+AO44+AQ44+AS44+AU44+AW44+AY44+BA44</f>
        <v>45364574.782000005</v>
      </c>
      <c r="P44" s="90">
        <v>1716</v>
      </c>
      <c r="Q44" s="90">
        <v>199964.34</v>
      </c>
      <c r="R44" s="90">
        <v>146</v>
      </c>
      <c r="S44" s="90">
        <v>1055443.062</v>
      </c>
      <c r="T44" s="90">
        <v>1241</v>
      </c>
      <c r="U44" s="90">
        <v>14991081.065</v>
      </c>
      <c r="V44" s="90">
        <v>9</v>
      </c>
      <c r="W44" s="90">
        <v>42105.329</v>
      </c>
      <c r="X44" s="90">
        <v>48</v>
      </c>
      <c r="Y44" s="90">
        <v>179068.317</v>
      </c>
      <c r="Z44" s="90">
        <v>1033</v>
      </c>
      <c r="AA44" s="90">
        <v>4339624.051</v>
      </c>
      <c r="AB44" s="90">
        <v>6315</v>
      </c>
      <c r="AC44" s="90">
        <v>18727271.39</v>
      </c>
      <c r="AD44" s="90">
        <v>399</v>
      </c>
      <c r="AE44" s="90">
        <v>2092857.927</v>
      </c>
      <c r="AF44" s="90">
        <v>1055</v>
      </c>
      <c r="AG44" s="90">
        <v>951337.984</v>
      </c>
      <c r="AH44" s="90">
        <v>67</v>
      </c>
      <c r="AI44" s="90">
        <v>50400.397</v>
      </c>
      <c r="AJ44" s="90">
        <v>92</v>
      </c>
      <c r="AK44" s="90">
        <v>1199258.569</v>
      </c>
      <c r="AL44" s="90">
        <v>190</v>
      </c>
      <c r="AM44" s="90">
        <v>375307.376</v>
      </c>
      <c r="AN44" s="90">
        <v>213</v>
      </c>
      <c r="AO44" s="90">
        <v>210910.614</v>
      </c>
      <c r="AP44" s="90">
        <v>275</v>
      </c>
      <c r="AQ44" s="90">
        <v>321822.059</v>
      </c>
      <c r="AR44" s="90">
        <v>8</v>
      </c>
      <c r="AS44" s="90">
        <v>3196.932</v>
      </c>
      <c r="AT44" s="90">
        <v>4</v>
      </c>
      <c r="AU44" s="90">
        <v>796</v>
      </c>
      <c r="AV44" s="90">
        <v>235</v>
      </c>
      <c r="AW44" s="90">
        <v>132982.233</v>
      </c>
      <c r="AX44" s="90">
        <v>795</v>
      </c>
      <c r="AY44" s="90">
        <v>487800.77</v>
      </c>
      <c r="AZ44" s="90">
        <v>0</v>
      </c>
      <c r="BA44" s="90">
        <v>3346.367</v>
      </c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</row>
    <row r="45" spans="4:64" ht="33" customHeight="1">
      <c r="D45" s="556"/>
      <c r="E45" s="563"/>
      <c r="F45" s="563"/>
      <c r="M45" s="273" t="s">
        <v>976</v>
      </c>
      <c r="O45" s="15"/>
      <c r="P45" s="90">
        <f>SUM(P46:P47)</f>
        <v>2167</v>
      </c>
      <c r="Q45" s="90">
        <f aca="true" t="shared" si="8" ref="Q45:BA45">SUM(Q46:Q47)</f>
        <v>682064.554</v>
      </c>
      <c r="R45" s="90">
        <f t="shared" si="8"/>
        <v>190</v>
      </c>
      <c r="S45" s="90">
        <f t="shared" si="8"/>
        <v>3361398.071</v>
      </c>
      <c r="T45" s="90">
        <f t="shared" si="8"/>
        <v>2050</v>
      </c>
      <c r="U45" s="90">
        <f t="shared" si="8"/>
        <v>41703529.186000004</v>
      </c>
      <c r="V45" s="90">
        <f t="shared" si="8"/>
        <v>13</v>
      </c>
      <c r="W45" s="90">
        <f t="shared" si="8"/>
        <v>156611.095</v>
      </c>
      <c r="X45" s="90">
        <f t="shared" si="8"/>
        <v>91</v>
      </c>
      <c r="Y45" s="90">
        <f t="shared" si="8"/>
        <v>505881.965</v>
      </c>
      <c r="Z45" s="90">
        <f t="shared" si="8"/>
        <v>2076</v>
      </c>
      <c r="AA45" s="90">
        <f t="shared" si="8"/>
        <v>15920631.792</v>
      </c>
      <c r="AB45" s="90">
        <f t="shared" si="8"/>
        <v>11694</v>
      </c>
      <c r="AC45" s="90">
        <f t="shared" si="8"/>
        <v>61379045.929000005</v>
      </c>
      <c r="AD45" s="90">
        <f t="shared" si="8"/>
        <v>712</v>
      </c>
      <c r="AE45" s="90">
        <f t="shared" si="8"/>
        <v>6214558.786</v>
      </c>
      <c r="AF45" s="90">
        <f t="shared" si="8"/>
        <v>2285</v>
      </c>
      <c r="AG45" s="90">
        <f t="shared" si="8"/>
        <v>5143306.293</v>
      </c>
      <c r="AH45" s="90">
        <f t="shared" si="8"/>
        <v>122</v>
      </c>
      <c r="AI45" s="90">
        <f t="shared" si="8"/>
        <v>2268034.647</v>
      </c>
      <c r="AJ45" s="90">
        <f t="shared" si="8"/>
        <v>148</v>
      </c>
      <c r="AK45" s="90">
        <f t="shared" si="8"/>
        <v>4306706.8889999995</v>
      </c>
      <c r="AL45" s="90">
        <f t="shared" si="8"/>
        <v>347</v>
      </c>
      <c r="AM45" s="90">
        <f t="shared" si="8"/>
        <v>1786347.1779999998</v>
      </c>
      <c r="AN45" s="90">
        <f t="shared" si="8"/>
        <v>441</v>
      </c>
      <c r="AO45" s="90">
        <f t="shared" si="8"/>
        <v>795019.1980000001</v>
      </c>
      <c r="AP45" s="90">
        <f t="shared" si="8"/>
        <v>537</v>
      </c>
      <c r="AQ45" s="90">
        <f t="shared" si="8"/>
        <v>1169490.574</v>
      </c>
      <c r="AR45" s="90">
        <f t="shared" si="8"/>
        <v>14</v>
      </c>
      <c r="AS45" s="90">
        <f t="shared" si="8"/>
        <v>26236.671</v>
      </c>
      <c r="AT45" s="90">
        <f t="shared" si="8"/>
        <v>6</v>
      </c>
      <c r="AU45" s="90">
        <f t="shared" si="8"/>
        <v>1592.01</v>
      </c>
      <c r="AV45" s="90">
        <f t="shared" si="8"/>
        <v>476</v>
      </c>
      <c r="AW45" s="90">
        <f t="shared" si="8"/>
        <v>477467.5</v>
      </c>
      <c r="AX45" s="90">
        <f t="shared" si="8"/>
        <v>1499</v>
      </c>
      <c r="AY45" s="90">
        <f t="shared" si="8"/>
        <v>1827792.246</v>
      </c>
      <c r="AZ45" s="90">
        <f t="shared" si="8"/>
        <v>0</v>
      </c>
      <c r="BA45" s="90">
        <f t="shared" si="8"/>
        <v>12809.099999999999</v>
      </c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</row>
    <row r="46" spans="4:64" ht="33" customHeight="1">
      <c r="D46" s="556"/>
      <c r="E46" s="563"/>
      <c r="F46" s="563"/>
      <c r="M46" s="273"/>
      <c r="N46" s="2">
        <f>P46+R46+T46+V46+X46+Z46+AB46+AD46+AF46+AH46+AJ46+AL46+AN46+AP46+AR46+AT46+AV46+AX46+AZ46</f>
        <v>10950</v>
      </c>
      <c r="O46" s="15">
        <f>Q46+S46+U46+W46+Y46+AA46+AC46+AE46+AG46+AI46+AK46+AM46+AO46+AQ46+AS46+AU46+AW46+AY46+BA46</f>
        <v>51756579.91299999</v>
      </c>
      <c r="P46" s="90">
        <v>451</v>
      </c>
      <c r="Q46" s="90">
        <v>303576.431</v>
      </c>
      <c r="R46" s="90">
        <v>44</v>
      </c>
      <c r="S46" s="90">
        <v>1205474.921</v>
      </c>
      <c r="T46" s="90">
        <v>801</v>
      </c>
      <c r="U46" s="90">
        <v>10477680.952</v>
      </c>
      <c r="V46" s="90">
        <v>4</v>
      </c>
      <c r="W46" s="90">
        <v>80626.552</v>
      </c>
      <c r="X46" s="90">
        <v>45</v>
      </c>
      <c r="Y46" s="90">
        <v>182366.386</v>
      </c>
      <c r="Z46" s="90">
        <v>1018</v>
      </c>
      <c r="AA46" s="90">
        <v>6456848.624</v>
      </c>
      <c r="AB46" s="90">
        <v>5373</v>
      </c>
      <c r="AC46" s="90">
        <v>21208037.983</v>
      </c>
      <c r="AD46" s="90">
        <v>312</v>
      </c>
      <c r="AE46" s="90">
        <v>1817605.285</v>
      </c>
      <c r="AF46" s="90">
        <v>1210</v>
      </c>
      <c r="AG46" s="90">
        <v>3079065.65</v>
      </c>
      <c r="AH46" s="90">
        <v>52</v>
      </c>
      <c r="AI46" s="90">
        <v>2154823.219</v>
      </c>
      <c r="AJ46" s="90">
        <v>54</v>
      </c>
      <c r="AK46" s="90">
        <v>1908798.481</v>
      </c>
      <c r="AL46" s="90">
        <v>152</v>
      </c>
      <c r="AM46" s="90">
        <v>1084558.849</v>
      </c>
      <c r="AN46" s="90">
        <v>228</v>
      </c>
      <c r="AO46" s="90">
        <v>285067.847</v>
      </c>
      <c r="AP46" s="90">
        <v>262</v>
      </c>
      <c r="AQ46" s="90">
        <v>442892.052</v>
      </c>
      <c r="AR46" s="90">
        <v>7</v>
      </c>
      <c r="AS46" s="90">
        <v>17569.099</v>
      </c>
      <c r="AT46" s="90">
        <v>2</v>
      </c>
      <c r="AU46" s="90">
        <v>0.008</v>
      </c>
      <c r="AV46" s="90">
        <v>237</v>
      </c>
      <c r="AW46" s="90">
        <v>194769.651</v>
      </c>
      <c r="AX46" s="90">
        <v>698</v>
      </c>
      <c r="AY46" s="90">
        <v>853725.408</v>
      </c>
      <c r="AZ46" s="90">
        <v>0</v>
      </c>
      <c r="BA46" s="90">
        <v>3092.515</v>
      </c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</row>
    <row r="47" spans="4:64" ht="33" customHeight="1">
      <c r="D47" s="556"/>
      <c r="E47" s="563"/>
      <c r="F47" s="563"/>
      <c r="M47" s="273"/>
      <c r="N47" s="2">
        <f>P47+R47+T47+V47+X47+Z47+AB47+AD47+AF47+AH47+AJ47+AL47+AN47+AP47+AR47+AT47+AV47+AX47+AZ47</f>
        <v>13918</v>
      </c>
      <c r="O47" s="15">
        <f>Q47+S47+U47+W47+Y47+AA47+AC47+AE47+AG47+AI47+AK47+AM47+AO47+AQ47+AS47+AU47+AW47+AY47+BA47</f>
        <v>95981943.77100001</v>
      </c>
      <c r="P47" s="90">
        <v>1716</v>
      </c>
      <c r="Q47" s="90">
        <v>378488.123</v>
      </c>
      <c r="R47" s="90">
        <v>146</v>
      </c>
      <c r="S47" s="90">
        <v>2155923.15</v>
      </c>
      <c r="T47" s="90">
        <v>1249</v>
      </c>
      <c r="U47" s="90">
        <v>31225848.234</v>
      </c>
      <c r="V47" s="90">
        <v>9</v>
      </c>
      <c r="W47" s="90">
        <v>75984.543</v>
      </c>
      <c r="X47" s="90">
        <v>46</v>
      </c>
      <c r="Y47" s="90">
        <v>323515.579</v>
      </c>
      <c r="Z47" s="90">
        <v>1058</v>
      </c>
      <c r="AA47" s="90">
        <v>9463783.168</v>
      </c>
      <c r="AB47" s="90">
        <v>6321</v>
      </c>
      <c r="AC47" s="90">
        <v>40171007.946</v>
      </c>
      <c r="AD47" s="90">
        <v>400</v>
      </c>
      <c r="AE47" s="90">
        <v>4396953.501</v>
      </c>
      <c r="AF47" s="90">
        <v>1075</v>
      </c>
      <c r="AG47" s="90">
        <v>2064240.643</v>
      </c>
      <c r="AH47" s="90">
        <v>70</v>
      </c>
      <c r="AI47" s="90">
        <v>113211.428</v>
      </c>
      <c r="AJ47" s="90">
        <v>94</v>
      </c>
      <c r="AK47" s="90">
        <v>2397908.408</v>
      </c>
      <c r="AL47" s="90">
        <v>195</v>
      </c>
      <c r="AM47" s="90">
        <v>701788.329</v>
      </c>
      <c r="AN47" s="90">
        <v>213</v>
      </c>
      <c r="AO47" s="90">
        <v>509951.351</v>
      </c>
      <c r="AP47" s="90">
        <v>275</v>
      </c>
      <c r="AQ47" s="90">
        <v>726598.522</v>
      </c>
      <c r="AR47" s="90">
        <v>7</v>
      </c>
      <c r="AS47" s="90">
        <v>8667.572</v>
      </c>
      <c r="AT47" s="90">
        <v>4</v>
      </c>
      <c r="AU47" s="90">
        <v>1592.002</v>
      </c>
      <c r="AV47" s="90">
        <v>239</v>
      </c>
      <c r="AW47" s="90">
        <v>282697.849</v>
      </c>
      <c r="AX47" s="90">
        <v>801</v>
      </c>
      <c r="AY47" s="90">
        <v>974066.838</v>
      </c>
      <c r="AZ47" s="90">
        <v>0</v>
      </c>
      <c r="BA47" s="90">
        <v>9716.585</v>
      </c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</row>
    <row r="48" spans="4:64" ht="33" customHeight="1">
      <c r="D48" s="556"/>
      <c r="E48" s="563"/>
      <c r="F48" s="563"/>
      <c r="I48" s="887"/>
      <c r="M48" s="273" t="s">
        <v>977</v>
      </c>
      <c r="O48" s="15"/>
      <c r="P48" s="90">
        <f>SUM(P49:P50)</f>
        <v>2166</v>
      </c>
      <c r="Q48" s="90">
        <f aca="true" t="shared" si="9" ref="Q48:BA48">SUM(Q49:Q50)</f>
        <v>1021660.173</v>
      </c>
      <c r="R48" s="90">
        <f t="shared" si="9"/>
        <v>179</v>
      </c>
      <c r="S48" s="90">
        <f t="shared" si="9"/>
        <v>5001238.511</v>
      </c>
      <c r="T48" s="90">
        <f t="shared" si="9"/>
        <v>2062</v>
      </c>
      <c r="U48" s="90">
        <f t="shared" si="9"/>
        <v>65505177.057000004</v>
      </c>
      <c r="V48" s="90">
        <f t="shared" si="9"/>
        <v>12</v>
      </c>
      <c r="W48" s="90">
        <f t="shared" si="9"/>
        <v>234102.52399999998</v>
      </c>
      <c r="X48" s="90">
        <f t="shared" si="9"/>
        <v>92</v>
      </c>
      <c r="Y48" s="90">
        <f t="shared" si="9"/>
        <v>820175.767</v>
      </c>
      <c r="Z48" s="90">
        <f t="shared" si="9"/>
        <v>2102</v>
      </c>
      <c r="AA48" s="90">
        <f t="shared" si="9"/>
        <v>26176157.406999998</v>
      </c>
      <c r="AB48" s="90">
        <f t="shared" si="9"/>
        <v>11719</v>
      </c>
      <c r="AC48" s="90">
        <f t="shared" si="9"/>
        <v>95141108.005</v>
      </c>
      <c r="AD48" s="90">
        <f t="shared" si="9"/>
        <v>717</v>
      </c>
      <c r="AE48" s="90">
        <f t="shared" si="9"/>
        <v>9491048.284</v>
      </c>
      <c r="AF48" s="90">
        <f t="shared" si="9"/>
        <v>2313</v>
      </c>
      <c r="AG48" s="90">
        <f t="shared" si="9"/>
        <v>7670851.756999999</v>
      </c>
      <c r="AH48" s="90">
        <f t="shared" si="9"/>
        <v>126</v>
      </c>
      <c r="AI48" s="90">
        <f t="shared" si="9"/>
        <v>3587305.2630000003</v>
      </c>
      <c r="AJ48" s="90">
        <f t="shared" si="9"/>
        <v>151</v>
      </c>
      <c r="AK48" s="90">
        <f t="shared" si="9"/>
        <v>6778934.336</v>
      </c>
      <c r="AL48" s="90">
        <f t="shared" si="9"/>
        <v>384</v>
      </c>
      <c r="AM48" s="90">
        <f t="shared" si="9"/>
        <v>2759727.99</v>
      </c>
      <c r="AN48" s="90">
        <f t="shared" si="9"/>
        <v>448</v>
      </c>
      <c r="AO48" s="90">
        <f t="shared" si="9"/>
        <v>1326398.1269999999</v>
      </c>
      <c r="AP48" s="90">
        <f t="shared" si="9"/>
        <v>549</v>
      </c>
      <c r="AQ48" s="90">
        <f t="shared" si="9"/>
        <v>1850743.5860000001</v>
      </c>
      <c r="AR48" s="90">
        <f t="shared" si="9"/>
        <v>14</v>
      </c>
      <c r="AS48" s="90">
        <f t="shared" si="9"/>
        <v>53049.93</v>
      </c>
      <c r="AT48" s="90">
        <f t="shared" si="9"/>
        <v>7</v>
      </c>
      <c r="AU48" s="90">
        <f t="shared" si="9"/>
        <v>2393.732</v>
      </c>
      <c r="AV48" s="90">
        <f t="shared" si="9"/>
        <v>483</v>
      </c>
      <c r="AW48" s="90">
        <f t="shared" si="9"/>
        <v>713822.781</v>
      </c>
      <c r="AX48" s="90">
        <f t="shared" si="9"/>
        <v>1509</v>
      </c>
      <c r="AY48" s="90">
        <f t="shared" si="9"/>
        <v>2861838.0870000003</v>
      </c>
      <c r="AZ48" s="90">
        <f t="shared" si="9"/>
        <v>0</v>
      </c>
      <c r="BA48" s="90">
        <f t="shared" si="9"/>
        <v>25686.334000000003</v>
      </c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</row>
    <row r="49" spans="14:61" ht="33" customHeight="1">
      <c r="N49" s="2">
        <f>P49+R49+T49+V49+X49+Z49+AB49+AD49+AF49+AH49+AJ49+AL49+AN49+AP49+AR49+AT49+AV49+AX49+AZ49</f>
        <v>11048</v>
      </c>
      <c r="O49" s="15">
        <f>Q49+S49+U49+W49+Y49+AA49+AC49+AE49+AG49+AI49+AK49+AM49+AO49+AQ49+AS49+AU49+AW49+AY49+BA49</f>
        <v>81044099.28000002</v>
      </c>
      <c r="P49" s="90">
        <v>452</v>
      </c>
      <c r="Q49" s="90">
        <v>448275.622</v>
      </c>
      <c r="R49" s="90">
        <v>43</v>
      </c>
      <c r="S49" s="90">
        <v>1802633.916</v>
      </c>
      <c r="T49" s="90">
        <v>813</v>
      </c>
      <c r="U49" s="90">
        <v>16575285.527</v>
      </c>
      <c r="V49" s="90">
        <v>3</v>
      </c>
      <c r="W49" s="90">
        <v>118486.449</v>
      </c>
      <c r="X49" s="90">
        <v>47</v>
      </c>
      <c r="Y49" s="90">
        <v>289998.721</v>
      </c>
      <c r="Z49" s="90">
        <v>1026</v>
      </c>
      <c r="AA49" s="90">
        <v>10842587.178</v>
      </c>
      <c r="AB49" s="90">
        <v>5386</v>
      </c>
      <c r="AC49" s="90">
        <v>32416945.766</v>
      </c>
      <c r="AD49" s="90">
        <v>318</v>
      </c>
      <c r="AE49" s="90">
        <v>2886561.048</v>
      </c>
      <c r="AF49" s="90">
        <v>1221</v>
      </c>
      <c r="AG49" s="90">
        <v>4733741.749</v>
      </c>
      <c r="AH49" s="90">
        <v>54</v>
      </c>
      <c r="AI49" s="90">
        <v>3300042.339</v>
      </c>
      <c r="AJ49" s="90">
        <v>54</v>
      </c>
      <c r="AK49" s="90">
        <v>3040891.633</v>
      </c>
      <c r="AL49" s="90">
        <v>174</v>
      </c>
      <c r="AM49" s="90">
        <v>1659044.008</v>
      </c>
      <c r="AN49" s="90">
        <v>235</v>
      </c>
      <c r="AO49" s="90">
        <v>511975.503</v>
      </c>
      <c r="AP49" s="90">
        <v>264</v>
      </c>
      <c r="AQ49" s="90">
        <v>692957.371</v>
      </c>
      <c r="AR49" s="90">
        <v>8</v>
      </c>
      <c r="AS49" s="90">
        <v>30780.726</v>
      </c>
      <c r="AT49" s="90">
        <v>3</v>
      </c>
      <c r="AU49" s="90">
        <v>5.726</v>
      </c>
      <c r="AV49" s="90">
        <v>243</v>
      </c>
      <c r="AW49" s="90">
        <v>300590.059</v>
      </c>
      <c r="AX49" s="90">
        <v>704</v>
      </c>
      <c r="AY49" s="90">
        <v>1387700.861</v>
      </c>
      <c r="AZ49" s="90">
        <v>0</v>
      </c>
      <c r="BA49" s="90">
        <v>5595.078</v>
      </c>
      <c r="BB49" s="90"/>
      <c r="BC49" s="90"/>
      <c r="BD49" s="90"/>
      <c r="BE49" s="90"/>
      <c r="BF49" s="90"/>
      <c r="BG49" s="90"/>
      <c r="BH49" s="10"/>
      <c r="BI49" s="10"/>
    </row>
    <row r="50" spans="14:61" ht="33" customHeight="1">
      <c r="N50" s="2">
        <f>P50+R50+T50+V50+X50+Z50+AB50+AD50+AF50+AH50+AJ50+AL50+AN50+AP50+AR50+AT50+AV50+AX50+AZ50</f>
        <v>13985</v>
      </c>
      <c r="O50" s="886">
        <f>Q50+S50+U50+W50+Y50+AA50+AC50+AE50+AG50+AI50+AK50+AM50+AO50+AQ50+AS50+AU50+AW50+AY50+BA50</f>
        <v>149977320.37100002</v>
      </c>
      <c r="P50" s="90">
        <v>1714</v>
      </c>
      <c r="Q50" s="90">
        <v>573384.551</v>
      </c>
      <c r="R50" s="90">
        <v>136</v>
      </c>
      <c r="S50" s="90">
        <v>3198604.595</v>
      </c>
      <c r="T50" s="90">
        <v>1249</v>
      </c>
      <c r="U50" s="90">
        <v>48929891.53</v>
      </c>
      <c r="V50" s="90">
        <v>9</v>
      </c>
      <c r="W50" s="90">
        <v>115616.075</v>
      </c>
      <c r="X50" s="90">
        <v>45</v>
      </c>
      <c r="Y50" s="90">
        <v>530177.046</v>
      </c>
      <c r="Z50" s="90">
        <v>1076</v>
      </c>
      <c r="AA50" s="90">
        <v>15333570.229</v>
      </c>
      <c r="AB50" s="90">
        <v>6333</v>
      </c>
      <c r="AC50" s="90">
        <v>62724162.239</v>
      </c>
      <c r="AD50" s="90">
        <v>399</v>
      </c>
      <c r="AE50" s="90">
        <v>6604487.236</v>
      </c>
      <c r="AF50" s="90">
        <v>1092</v>
      </c>
      <c r="AG50" s="90">
        <v>2937110.008</v>
      </c>
      <c r="AH50" s="90">
        <v>72</v>
      </c>
      <c r="AI50" s="90">
        <v>287262.924</v>
      </c>
      <c r="AJ50" s="90">
        <v>97</v>
      </c>
      <c r="AK50" s="90">
        <v>3738042.703</v>
      </c>
      <c r="AL50" s="90">
        <v>210</v>
      </c>
      <c r="AM50" s="90">
        <v>1100683.982</v>
      </c>
      <c r="AN50" s="90">
        <v>213</v>
      </c>
      <c r="AO50" s="90">
        <v>814422.624</v>
      </c>
      <c r="AP50" s="90">
        <v>285</v>
      </c>
      <c r="AQ50" s="90">
        <v>1157786.215</v>
      </c>
      <c r="AR50" s="90">
        <v>6</v>
      </c>
      <c r="AS50" s="90">
        <v>22269.204</v>
      </c>
      <c r="AT50" s="90">
        <v>4</v>
      </c>
      <c r="AU50" s="90">
        <v>2388.006</v>
      </c>
      <c r="AV50" s="90">
        <v>240</v>
      </c>
      <c r="AW50" s="90">
        <v>413232.722</v>
      </c>
      <c r="AX50" s="90">
        <v>805</v>
      </c>
      <c r="AY50" s="90">
        <v>1474137.226</v>
      </c>
      <c r="AZ50" s="90">
        <v>0</v>
      </c>
      <c r="BA50" s="90">
        <v>20091.256</v>
      </c>
      <c r="BB50" s="90"/>
      <c r="BC50" s="90"/>
      <c r="BD50" s="90"/>
      <c r="BE50" s="90"/>
      <c r="BF50" s="90"/>
      <c r="BG50" s="90"/>
      <c r="BH50" s="10"/>
      <c r="BI50" s="10"/>
    </row>
    <row r="51" ht="33" customHeight="1" thickBot="1"/>
    <row r="52" spans="4:41" ht="33" customHeight="1">
      <c r="D52" s="547" t="s">
        <v>40</v>
      </c>
      <c r="E52" s="547"/>
      <c r="F52" s="547" t="s">
        <v>41</v>
      </c>
      <c r="G52" s="550"/>
      <c r="H52" s="550" t="s">
        <v>42</v>
      </c>
      <c r="I52" s="550"/>
      <c r="J52" s="551" t="s">
        <v>43</v>
      </c>
      <c r="K52" s="550"/>
      <c r="L52" s="547" t="s">
        <v>44</v>
      </c>
      <c r="M52" s="550"/>
      <c r="N52" s="550" t="s">
        <v>45</v>
      </c>
      <c r="O52" s="550"/>
      <c r="P52" s="547" t="s">
        <v>46</v>
      </c>
      <c r="Q52" s="550"/>
      <c r="R52" s="550" t="s">
        <v>47</v>
      </c>
      <c r="S52" s="550"/>
      <c r="T52" s="547" t="s">
        <v>48</v>
      </c>
      <c r="U52" s="547"/>
      <c r="V52" s="547" t="s">
        <v>49</v>
      </c>
      <c r="W52" s="547"/>
      <c r="X52" s="547" t="s">
        <v>50</v>
      </c>
      <c r="Y52" s="547"/>
      <c r="Z52" s="552" t="s">
        <v>51</v>
      </c>
      <c r="AA52" s="568"/>
      <c r="AB52" s="550" t="s">
        <v>52</v>
      </c>
      <c r="AC52" s="550"/>
      <c r="AD52" s="551" t="s">
        <v>53</v>
      </c>
      <c r="AE52" s="550"/>
      <c r="AF52" s="547" t="s">
        <v>54</v>
      </c>
      <c r="AG52" s="550"/>
      <c r="AH52" s="551" t="s">
        <v>55</v>
      </c>
      <c r="AI52" s="550"/>
      <c r="AJ52" s="550" t="s">
        <v>56</v>
      </c>
      <c r="AK52" s="550"/>
      <c r="AL52" s="549" t="s">
        <v>57</v>
      </c>
      <c r="AM52" s="549"/>
      <c r="AN52" s="549" t="s">
        <v>58</v>
      </c>
      <c r="AO52" s="579" t="s">
        <v>58</v>
      </c>
    </row>
    <row r="53" spans="4:50" s="9" customFormat="1" ht="33" customHeight="1">
      <c r="D53" s="564">
        <f>Q22/$O$22</f>
        <v>0.004422361244872463</v>
      </c>
      <c r="E53" s="564">
        <f aca="true" t="shared" si="10" ref="E53:AN53">R22/$O$22</f>
        <v>7.74819929123508E-07</v>
      </c>
      <c r="F53" s="564">
        <f t="shared" si="10"/>
        <v>0.021648375802361893</v>
      </c>
      <c r="G53" s="564">
        <f t="shared" si="10"/>
        <v>8.925579295266333E-06</v>
      </c>
      <c r="H53" s="564">
        <f t="shared" si="10"/>
        <v>0.28354590304205357</v>
      </c>
      <c r="I53" s="564">
        <f t="shared" si="10"/>
        <v>5.194323547196702E-08</v>
      </c>
      <c r="J53" s="564">
        <f t="shared" si="10"/>
        <v>0.0010133368773928174</v>
      </c>
      <c r="K53" s="564">
        <f t="shared" si="10"/>
        <v>3.9823147195174716E-07</v>
      </c>
      <c r="L53" s="564">
        <f t="shared" si="10"/>
        <v>0.0035502152494735133</v>
      </c>
      <c r="M53" s="564">
        <f t="shared" si="10"/>
        <v>9.098723413506222E-06</v>
      </c>
      <c r="N53" s="564">
        <f t="shared" si="10"/>
        <v>0.11330619232858954</v>
      </c>
      <c r="O53" s="564">
        <f t="shared" si="10"/>
        <v>5.072689804133179E-05</v>
      </c>
      <c r="P53" s="578">
        <f t="shared" si="10"/>
        <v>0.41182808134729676</v>
      </c>
      <c r="Q53" s="564">
        <f t="shared" si="10"/>
        <v>3.1036083194500295E-06</v>
      </c>
      <c r="R53" s="564">
        <f t="shared" si="10"/>
        <v>0.04108297965763504</v>
      </c>
      <c r="S53" s="564">
        <f t="shared" si="10"/>
        <v>1.0012058637221643E-05</v>
      </c>
      <c r="T53" s="564">
        <f t="shared" si="10"/>
        <v>0.03320407159036691</v>
      </c>
      <c r="U53" s="564">
        <f t="shared" si="10"/>
        <v>5.454039724556538E-07</v>
      </c>
      <c r="V53" s="564">
        <f t="shared" si="10"/>
        <v>0.0155280201654863</v>
      </c>
      <c r="W53" s="564">
        <f t="shared" si="10"/>
        <v>6.53619046355585E-07</v>
      </c>
      <c r="X53" s="564">
        <f t="shared" si="10"/>
        <v>0.029343315205320866</v>
      </c>
      <c r="Y53" s="564">
        <f t="shared" si="10"/>
        <v>1.6621835351029446E-06</v>
      </c>
      <c r="Z53" s="564">
        <f t="shared" si="10"/>
        <v>0.011945766735262354</v>
      </c>
      <c r="AA53" s="564">
        <f t="shared" si="10"/>
        <v>1.939214124286769E-06</v>
      </c>
      <c r="AB53" s="564">
        <f t="shared" si="10"/>
        <v>0.0057414508533614175</v>
      </c>
      <c r="AC53" s="564">
        <f t="shared" si="10"/>
        <v>2.376403022842491E-06</v>
      </c>
      <c r="AD53" s="564">
        <f t="shared" si="10"/>
        <v>0.008011134157152554</v>
      </c>
      <c r="AE53" s="564">
        <f t="shared" si="10"/>
        <v>6.060044138396153E-08</v>
      </c>
      <c r="AF53" s="564">
        <f t="shared" si="10"/>
        <v>0.00022963208381344727</v>
      </c>
      <c r="AG53" s="564">
        <f t="shared" si="10"/>
        <v>3.0300220691980764E-08</v>
      </c>
      <c r="AH53" s="564">
        <f t="shared" si="10"/>
        <v>1.0361515411065213E-05</v>
      </c>
      <c r="AI53" s="564">
        <f t="shared" si="10"/>
        <v>2.0907152277466727E-06</v>
      </c>
      <c r="AJ53" s="564">
        <f t="shared" si="10"/>
        <v>0.0030898553998947786</v>
      </c>
      <c r="AK53" s="564">
        <f t="shared" si="10"/>
        <v>6.531861860599853E-06</v>
      </c>
      <c r="AL53" s="564">
        <f t="shared" si="10"/>
        <v>0.012387760802973722</v>
      </c>
      <c r="AM53" s="564">
        <f t="shared" si="10"/>
        <v>0</v>
      </c>
      <c r="AN53" s="564">
        <f t="shared" si="10"/>
        <v>0.00011118594128113272</v>
      </c>
      <c r="AO53" s="564">
        <f>1-H53-N53-P53-R53-T53</f>
        <v>0.11703277203405825</v>
      </c>
      <c r="AP53" s="564"/>
      <c r="AQ53" s="564"/>
      <c r="AR53" s="564"/>
      <c r="AS53" s="564"/>
      <c r="AT53" s="564"/>
      <c r="AU53" s="564"/>
      <c r="AV53" s="564"/>
      <c r="AW53" s="564"/>
      <c r="AX53" s="564"/>
    </row>
    <row r="54" spans="3:4" ht="33" customHeight="1">
      <c r="C54" s="563" t="s">
        <v>1109</v>
      </c>
      <c r="D54" s="563" t="s">
        <v>100</v>
      </c>
    </row>
    <row r="55" spans="2:4" ht="33" customHeight="1">
      <c r="B55" s="556" t="s">
        <v>101</v>
      </c>
      <c r="C55" s="563">
        <v>23389</v>
      </c>
      <c r="D55" s="888">
        <f>O7/100000</f>
        <v>1742.6270662899997</v>
      </c>
    </row>
    <row r="56" spans="2:4" ht="33" customHeight="1">
      <c r="B56" s="556" t="s">
        <v>102</v>
      </c>
      <c r="C56" s="563">
        <v>23995</v>
      </c>
      <c r="D56" s="888">
        <f>O8/100000</f>
        <v>1890.8146800899997</v>
      </c>
    </row>
    <row r="57" spans="2:4" ht="33" customHeight="1">
      <c r="B57" s="556" t="s">
        <v>103</v>
      </c>
      <c r="C57" s="563">
        <v>24703</v>
      </c>
      <c r="D57" s="888">
        <f>O9/100000</f>
        <v>2003.6424495999997</v>
      </c>
    </row>
    <row r="58" spans="2:4" ht="33" customHeight="1">
      <c r="B58" s="556" t="s">
        <v>104</v>
      </c>
      <c r="C58" s="563">
        <v>24971</v>
      </c>
      <c r="D58" s="888">
        <f>O10/100000</f>
        <v>2054.27549494</v>
      </c>
    </row>
    <row r="59" spans="2:4" ht="33" customHeight="1">
      <c r="B59" s="556" t="s">
        <v>105</v>
      </c>
      <c r="C59" s="563">
        <v>24937</v>
      </c>
      <c r="D59" s="888">
        <f>O11/100000</f>
        <v>2131.98752852</v>
      </c>
    </row>
    <row r="60" spans="2:4" ht="33" customHeight="1">
      <c r="B60" s="556" t="s">
        <v>106</v>
      </c>
      <c r="C60" s="563">
        <v>24399</v>
      </c>
      <c r="D60" s="888">
        <f>O16/100000</f>
        <v>2220.4239551899996</v>
      </c>
    </row>
    <row r="61" spans="2:4" ht="33" customHeight="1">
      <c r="B61" s="556" t="s">
        <v>107</v>
      </c>
      <c r="C61" s="563">
        <f>N17</f>
        <v>24647</v>
      </c>
      <c r="D61" s="888">
        <f>O17/100000</f>
        <v>2060.7444314900004</v>
      </c>
    </row>
    <row r="62" spans="2:4" ht="33" customHeight="1">
      <c r="B62" s="556" t="s">
        <v>841</v>
      </c>
      <c r="C62">
        <v>25033</v>
      </c>
      <c r="D62" s="888">
        <f>O22/100000</f>
        <v>2310.2141965099995</v>
      </c>
    </row>
  </sheetData>
  <mergeCells count="162">
    <mergeCell ref="B2:K4"/>
    <mergeCell ref="M29:O29"/>
    <mergeCell ref="AZ13:BA13"/>
    <mergeCell ref="AN13:AO13"/>
    <mergeCell ref="AP13:AQ13"/>
    <mergeCell ref="AR13:AS13"/>
    <mergeCell ref="AT13:AU13"/>
    <mergeCell ref="AJ13:AK13"/>
    <mergeCell ref="AL13:AM13"/>
    <mergeCell ref="AV13:AW13"/>
    <mergeCell ref="AB13:AC13"/>
    <mergeCell ref="AD13:AE13"/>
    <mergeCell ref="AF13:AG13"/>
    <mergeCell ref="AH13:AI13"/>
    <mergeCell ref="T13:U13"/>
    <mergeCell ref="V13:W13"/>
    <mergeCell ref="X13:Y13"/>
    <mergeCell ref="Z13:AA13"/>
    <mergeCell ref="AT12:AU12"/>
    <mergeCell ref="AV12:AW12"/>
    <mergeCell ref="AX12:AY12"/>
    <mergeCell ref="AZ12:BA12"/>
    <mergeCell ref="AL12:AM12"/>
    <mergeCell ref="AN12:AO12"/>
    <mergeCell ref="AP12:AQ12"/>
    <mergeCell ref="AR12:AS12"/>
    <mergeCell ref="AD12:AE12"/>
    <mergeCell ref="AF12:AG12"/>
    <mergeCell ref="AH12:AI12"/>
    <mergeCell ref="AJ12:AK12"/>
    <mergeCell ref="T12:U12"/>
    <mergeCell ref="V12:W12"/>
    <mergeCell ref="X12:Y12"/>
    <mergeCell ref="AB12:AC12"/>
    <mergeCell ref="M12:M15"/>
    <mergeCell ref="N12:O12"/>
    <mergeCell ref="P12:Q12"/>
    <mergeCell ref="R12:S12"/>
    <mergeCell ref="N13:O13"/>
    <mergeCell ref="P13:Q13"/>
    <mergeCell ref="R13:S13"/>
    <mergeCell ref="R3:S3"/>
    <mergeCell ref="R4:S4"/>
    <mergeCell ref="AH3:AI3"/>
    <mergeCell ref="AH4:AI4"/>
    <mergeCell ref="AB4:AC4"/>
    <mergeCell ref="AF27:AF28"/>
    <mergeCell ref="M27:M28"/>
    <mergeCell ref="N27:N28"/>
    <mergeCell ref="O27:O28"/>
    <mergeCell ref="R27:R28"/>
    <mergeCell ref="S27:S28"/>
    <mergeCell ref="V27:V28"/>
    <mergeCell ref="W27:W28"/>
    <mergeCell ref="Z27:Z28"/>
    <mergeCell ref="AB27:AB28"/>
    <mergeCell ref="M31:R31"/>
    <mergeCell ref="X32:AH32"/>
    <mergeCell ref="A1:L1"/>
    <mergeCell ref="AG27:AG28"/>
    <mergeCell ref="AH27:AH28"/>
    <mergeCell ref="AA27:AA28"/>
    <mergeCell ref="AD27:AD28"/>
    <mergeCell ref="Z12:AA12"/>
    <mergeCell ref="AD3:AE3"/>
    <mergeCell ref="AE27:AE28"/>
    <mergeCell ref="AN4:AO4"/>
    <mergeCell ref="AP3:AQ3"/>
    <mergeCell ref="AP4:AQ4"/>
    <mergeCell ref="T3:U3"/>
    <mergeCell ref="T4:U4"/>
    <mergeCell ref="X4:Y4"/>
    <mergeCell ref="V3:W3"/>
    <mergeCell ref="V4:W4"/>
    <mergeCell ref="X3:Y3"/>
    <mergeCell ref="AB3:AC3"/>
    <mergeCell ref="AC27:AC28"/>
    <mergeCell ref="AI27:AI28"/>
    <mergeCell ref="BB3:BC3"/>
    <mergeCell ref="BB4:BC4"/>
    <mergeCell ref="AR3:AS3"/>
    <mergeCell ref="AL3:AM3"/>
    <mergeCell ref="AL4:AM4"/>
    <mergeCell ref="AR4:AS4"/>
    <mergeCell ref="AN3:AO3"/>
    <mergeCell ref="AJ27:AJ28"/>
    <mergeCell ref="AP27:AP28"/>
    <mergeCell ref="AQ27:AQ28"/>
    <mergeCell ref="AR27:AR28"/>
    <mergeCell ref="AK27:AK28"/>
    <mergeCell ref="AL27:AL28"/>
    <mergeCell ref="AM27:AM28"/>
    <mergeCell ref="AN27:AN28"/>
    <mergeCell ref="AX27:AX28"/>
    <mergeCell ref="AY27:AY28"/>
    <mergeCell ref="AX7:AY7"/>
    <mergeCell ref="AV8:AW8"/>
    <mergeCell ref="AX8:AY8"/>
    <mergeCell ref="AX9:AY9"/>
    <mergeCell ref="AX10:AY10"/>
    <mergeCell ref="AV27:AV28"/>
    <mergeCell ref="AX13:AY13"/>
    <mergeCell ref="AN1:BA1"/>
    <mergeCell ref="AN30:BA30"/>
    <mergeCell ref="AD4:AE4"/>
    <mergeCell ref="AF3:AG3"/>
    <mergeCell ref="AF4:AG4"/>
    <mergeCell ref="AJ3:AK3"/>
    <mergeCell ref="AJ4:AK4"/>
    <mergeCell ref="AZ27:AZ28"/>
    <mergeCell ref="BA27:BA28"/>
    <mergeCell ref="AX3:BA3"/>
    <mergeCell ref="AZ8:BA8"/>
    <mergeCell ref="AZ9:BA9"/>
    <mergeCell ref="AZ10:BA10"/>
    <mergeCell ref="AX4:BA4"/>
    <mergeCell ref="AZ5:BA5"/>
    <mergeCell ref="AZ6:BA6"/>
    <mergeCell ref="AX5:AY5"/>
    <mergeCell ref="AX6:AY6"/>
    <mergeCell ref="AZ11:BA11"/>
    <mergeCell ref="AX11:AY11"/>
    <mergeCell ref="AT3:AW3"/>
    <mergeCell ref="AT4:AW4"/>
    <mergeCell ref="AT5:AU5"/>
    <mergeCell ref="AV5:AW5"/>
    <mergeCell ref="AV6:AW6"/>
    <mergeCell ref="AT6:AU6"/>
    <mergeCell ref="AV7:AW7"/>
    <mergeCell ref="AZ7:BA7"/>
    <mergeCell ref="AT7:AU7"/>
    <mergeCell ref="AT8:AU8"/>
    <mergeCell ref="AT9:AU9"/>
    <mergeCell ref="AT10:AU10"/>
    <mergeCell ref="Z30:AM30"/>
    <mergeCell ref="AV9:AW9"/>
    <mergeCell ref="AV10:AW10"/>
    <mergeCell ref="AV11:AW11"/>
    <mergeCell ref="AT11:AU11"/>
    <mergeCell ref="AW27:AW28"/>
    <mergeCell ref="AS27:AS28"/>
    <mergeCell ref="AT27:AT28"/>
    <mergeCell ref="AU27:AU28"/>
    <mergeCell ref="AO27:AO28"/>
    <mergeCell ref="U2:Y2"/>
    <mergeCell ref="Z3:AA3"/>
    <mergeCell ref="Z4:AA4"/>
    <mergeCell ref="M1:Y1"/>
    <mergeCell ref="Z1:AM1"/>
    <mergeCell ref="M3:M6"/>
    <mergeCell ref="N3:O3"/>
    <mergeCell ref="N4:O4"/>
    <mergeCell ref="P3:Q3"/>
    <mergeCell ref="P4:Q4"/>
    <mergeCell ref="A30:L30"/>
    <mergeCell ref="P27:P28"/>
    <mergeCell ref="Q27:Q28"/>
    <mergeCell ref="M30:Y30"/>
    <mergeCell ref="T27:T28"/>
    <mergeCell ref="U27:U28"/>
    <mergeCell ref="X27:X28"/>
    <mergeCell ref="Y27:Y28"/>
  </mergeCells>
  <printOptions/>
  <pageMargins left="0.56" right="0.3" top="0.3937007874015748" bottom="0.3937007874015748" header="0.3937007874015748" footer="0.3937007874015748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50"/>
  <sheetViews>
    <sheetView showGridLines="0" zoomScaleSheetLayoutView="100" workbookViewId="0" topLeftCell="A1">
      <selection activeCell="B7" sqref="B7"/>
    </sheetView>
  </sheetViews>
  <sheetFormatPr defaultColWidth="9.00390625" defaultRowHeight="16.5"/>
  <cols>
    <col min="1" max="1" width="2.625" style="3" customWidth="1"/>
    <col min="2" max="2" width="9.625" style="3" customWidth="1"/>
    <col min="3" max="13" width="6.625" style="3" customWidth="1"/>
    <col min="14" max="14" width="7.00390625" style="3" customWidth="1"/>
    <col min="15" max="16" width="2.625" style="3" customWidth="1"/>
    <col min="17" max="17" width="10.625" style="3" customWidth="1"/>
    <col min="18" max="18" width="10.25390625" style="3" customWidth="1"/>
    <col min="19" max="19" width="10.625" style="3" customWidth="1"/>
    <col min="20" max="20" width="12.25390625" style="3" customWidth="1"/>
    <col min="21" max="24" width="10.625" style="3" customWidth="1"/>
    <col min="25" max="25" width="11.50390625" style="3" customWidth="1"/>
    <col min="26" max="16384" width="9.00390625" style="3" customWidth="1"/>
  </cols>
  <sheetData>
    <row r="1" spans="1:15" ht="49.5" customHeight="1">
      <c r="A1" s="869" t="s">
        <v>255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72"/>
    </row>
    <row r="2" spans="2:26" ht="99.75" customHeight="1">
      <c r="B2" s="871" t="s">
        <v>256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169"/>
      <c r="S2" s="1008"/>
      <c r="T2" s="1008"/>
      <c r="U2" s="1008"/>
      <c r="V2" s="1008"/>
      <c r="W2" s="1008"/>
      <c r="X2" s="1012"/>
      <c r="Y2" s="1008"/>
      <c r="Z2" s="1008"/>
    </row>
    <row r="3" spans="19:26" ht="15.75">
      <c r="S3" s="1008"/>
      <c r="T3" s="1008"/>
      <c r="U3" s="1008"/>
      <c r="V3" s="1008"/>
      <c r="W3" s="1008"/>
      <c r="X3" s="1013"/>
      <c r="Y3" s="1008"/>
      <c r="Z3" s="1008"/>
    </row>
    <row r="4" ht="16.5" thickBot="1">
      <c r="Z4" s="99"/>
    </row>
    <row r="5" spans="19:26" ht="16.5">
      <c r="S5" s="1016" t="s">
        <v>257</v>
      </c>
      <c r="T5" s="1017"/>
      <c r="U5" s="621" t="s">
        <v>258</v>
      </c>
      <c r="V5" s="621" t="s">
        <v>259</v>
      </c>
      <c r="Z5" s="99"/>
    </row>
    <row r="6" spans="19:22" ht="16.5">
      <c r="S6" s="1022" t="s">
        <v>260</v>
      </c>
      <c r="T6" s="1023"/>
      <c r="U6" s="728">
        <v>201</v>
      </c>
      <c r="V6" s="729">
        <f>U6/U14*100</f>
        <v>17.75618374558304</v>
      </c>
    </row>
    <row r="7" spans="19:22" ht="16.5">
      <c r="S7" s="1018" t="s">
        <v>261</v>
      </c>
      <c r="T7" s="1019"/>
      <c r="U7" s="730">
        <v>312</v>
      </c>
      <c r="V7" s="731">
        <f>U7/U14*100</f>
        <v>27.56183745583039</v>
      </c>
    </row>
    <row r="8" spans="19:22" ht="16.5">
      <c r="S8" s="1018" t="s">
        <v>262</v>
      </c>
      <c r="T8" s="1019"/>
      <c r="U8" s="730">
        <v>242</v>
      </c>
      <c r="V8" s="731">
        <f>U8/U14*100</f>
        <v>21.37809187279152</v>
      </c>
    </row>
    <row r="9" spans="19:22" ht="16.5">
      <c r="S9" s="1018" t="s">
        <v>263</v>
      </c>
      <c r="T9" s="1019"/>
      <c r="U9" s="730">
        <v>49</v>
      </c>
      <c r="V9" s="731">
        <f>U9/U14*100</f>
        <v>4.328621908127209</v>
      </c>
    </row>
    <row r="10" spans="19:22" ht="16.5">
      <c r="S10" s="1018" t="s">
        <v>264</v>
      </c>
      <c r="T10" s="1019"/>
      <c r="U10" s="730">
        <v>82</v>
      </c>
      <c r="V10" s="731">
        <f>U10/U14*100</f>
        <v>7.243816254416961</v>
      </c>
    </row>
    <row r="11" spans="19:22" ht="16.5">
      <c r="S11" s="1018" t="s">
        <v>265</v>
      </c>
      <c r="T11" s="1019"/>
      <c r="U11" s="730">
        <v>246</v>
      </c>
      <c r="V11" s="731">
        <f>U11/U14*100</f>
        <v>21.73144876325088</v>
      </c>
    </row>
    <row r="12" spans="19:22" ht="16.5">
      <c r="S12" s="1020" t="s">
        <v>266</v>
      </c>
      <c r="T12" s="1021"/>
      <c r="U12" s="730">
        <v>0</v>
      </c>
      <c r="V12" s="731">
        <f>U12/U14*100</f>
        <v>0</v>
      </c>
    </row>
    <row r="13" spans="19:22" ht="16.5">
      <c r="S13" s="1018" t="s">
        <v>267</v>
      </c>
      <c r="T13" s="1019"/>
      <c r="U13" s="732">
        <v>0</v>
      </c>
      <c r="V13" s="731">
        <f>U13/U14*100</f>
        <v>0</v>
      </c>
    </row>
    <row r="14" spans="19:22" ht="17.25" thickBot="1">
      <c r="S14" s="1014"/>
      <c r="T14" s="1015"/>
      <c r="U14" s="733">
        <v>1132</v>
      </c>
      <c r="V14" s="734">
        <f>SUM(V6:V13)</f>
        <v>99.99999999999999</v>
      </c>
    </row>
    <row r="19" ht="30" customHeight="1"/>
    <row r="20" spans="18:26" ht="15.75">
      <c r="R20" s="99"/>
      <c r="S20" s="1008"/>
      <c r="T20" s="1008"/>
      <c r="U20" s="1008"/>
      <c r="V20" s="1008"/>
      <c r="W20" s="1008"/>
      <c r="X20" s="1008"/>
      <c r="Y20" s="1008"/>
      <c r="Z20" s="99"/>
    </row>
    <row r="21" spans="18:26" ht="15.75">
      <c r="R21" s="99"/>
      <c r="S21" s="1008"/>
      <c r="T21" s="1008"/>
      <c r="U21" s="1008"/>
      <c r="V21" s="1008"/>
      <c r="W21" s="1008"/>
      <c r="X21" s="1008"/>
      <c r="Y21" s="1008"/>
      <c r="Z21" s="99"/>
    </row>
    <row r="23" ht="16.5" thickBot="1"/>
    <row r="24" spans="19:21" ht="16.5">
      <c r="S24" s="622"/>
      <c r="T24" s="589" t="s">
        <v>268</v>
      </c>
      <c r="U24" s="590" t="s">
        <v>259</v>
      </c>
    </row>
    <row r="25" spans="19:21" ht="16.5">
      <c r="S25" s="623" t="s">
        <v>269</v>
      </c>
      <c r="T25" s="735">
        <v>6507792</v>
      </c>
      <c r="U25" s="624">
        <f>T25/T31*100</f>
        <v>40.30980824479614</v>
      </c>
    </row>
    <row r="26" spans="19:21" ht="16.5">
      <c r="S26" s="625" t="s">
        <v>270</v>
      </c>
      <c r="T26" s="736">
        <v>1857607</v>
      </c>
      <c r="U26" s="626">
        <f>T26/T31*100</f>
        <v>11.50617320962179</v>
      </c>
    </row>
    <row r="27" spans="19:21" ht="33">
      <c r="S27" s="625" t="s">
        <v>271</v>
      </c>
      <c r="T27" s="736">
        <v>1419474</v>
      </c>
      <c r="U27" s="626">
        <f>T27/T31*100</f>
        <v>8.792340742985292</v>
      </c>
    </row>
    <row r="28" spans="19:21" ht="31.5">
      <c r="S28" s="627" t="s">
        <v>272</v>
      </c>
      <c r="T28" s="628">
        <v>1937697</v>
      </c>
      <c r="U28" s="626">
        <f>T28/T31*100</f>
        <v>12.002257371857725</v>
      </c>
    </row>
    <row r="29" spans="19:21" ht="16.5">
      <c r="S29" s="625" t="s">
        <v>273</v>
      </c>
      <c r="T29" s="736">
        <v>1319805</v>
      </c>
      <c r="U29" s="626">
        <f>T29/T31*100</f>
        <v>8.174982616304142</v>
      </c>
    </row>
    <row r="30" spans="19:21" ht="16.5">
      <c r="S30" s="625" t="s">
        <v>267</v>
      </c>
      <c r="T30" s="736">
        <v>3102063</v>
      </c>
      <c r="U30" s="626">
        <f>T30/T31*100</f>
        <v>19.214437814434916</v>
      </c>
    </row>
    <row r="31" spans="19:21" ht="17.25" thickBot="1">
      <c r="S31" s="599" t="s">
        <v>274</v>
      </c>
      <c r="T31" s="629">
        <f>SUM(T25:T30)</f>
        <v>16144438</v>
      </c>
      <c r="U31" s="630">
        <f>T31/T31*100</f>
        <v>100</v>
      </c>
    </row>
    <row r="39" spans="3:14" ht="19.5" customHeight="1"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4" ht="29.25" customHeight="1">
      <c r="A40" s="899" t="s">
        <v>275</v>
      </c>
      <c r="B40" s="899"/>
      <c r="C40" s="899"/>
      <c r="D40" s="899"/>
      <c r="E40" s="899"/>
      <c r="F40" s="899"/>
      <c r="G40" s="899"/>
      <c r="H40" s="899"/>
      <c r="I40" s="899"/>
      <c r="J40" s="899"/>
      <c r="K40" s="899"/>
      <c r="L40" s="899"/>
      <c r="M40" s="899"/>
      <c r="N40" s="899"/>
    </row>
    <row r="41" spans="1:15" ht="24.75" customHeight="1">
      <c r="A41" s="897" t="s">
        <v>276</v>
      </c>
      <c r="B41" s="897"/>
      <c r="C41" s="897"/>
      <c r="D41" s="897"/>
      <c r="E41" s="897"/>
      <c r="F41" s="897"/>
      <c r="G41" s="897"/>
      <c r="H41" s="897"/>
      <c r="I41" s="897"/>
      <c r="J41" s="897"/>
      <c r="K41" s="897"/>
      <c r="L41" s="897"/>
      <c r="M41" s="897"/>
      <c r="N41" s="897"/>
      <c r="O41" s="401"/>
    </row>
    <row r="42" spans="1:15" ht="24.75" customHeight="1" thickBot="1">
      <c r="A42" s="898" t="s">
        <v>277</v>
      </c>
      <c r="B42" s="898"/>
      <c r="C42" s="898"/>
      <c r="D42" s="898"/>
      <c r="E42" s="898"/>
      <c r="F42" s="898"/>
      <c r="G42" s="898"/>
      <c r="H42" s="898"/>
      <c r="I42" s="898"/>
      <c r="J42" s="898"/>
      <c r="K42" s="898"/>
      <c r="L42" s="898"/>
      <c r="M42" s="898"/>
      <c r="N42" s="898"/>
      <c r="O42" s="350"/>
    </row>
    <row r="43" spans="2:14" ht="19.5" customHeight="1">
      <c r="B43" s="860" t="s">
        <v>278</v>
      </c>
      <c r="C43" s="1055" t="s">
        <v>279</v>
      </c>
      <c r="D43" s="857"/>
      <c r="E43" s="857"/>
      <c r="F43" s="857"/>
      <c r="G43" s="857"/>
      <c r="H43" s="857"/>
      <c r="I43" s="857"/>
      <c r="J43" s="857"/>
      <c r="K43" s="858"/>
      <c r="L43" s="780" t="s">
        <v>280</v>
      </c>
      <c r="M43" s="759"/>
      <c r="N43" s="759"/>
    </row>
    <row r="44" spans="2:14" ht="19.5" customHeight="1">
      <c r="B44" s="861"/>
      <c r="C44" s="1056" t="s">
        <v>900</v>
      </c>
      <c r="D44" s="921"/>
      <c r="E44" s="921"/>
      <c r="F44" s="921"/>
      <c r="G44" s="921"/>
      <c r="H44" s="921"/>
      <c r="I44" s="921"/>
      <c r="J44" s="921"/>
      <c r="K44" s="922"/>
      <c r="L44" s="1058" t="s">
        <v>281</v>
      </c>
      <c r="M44" s="812"/>
      <c r="N44" s="812"/>
    </row>
    <row r="45" spans="2:14" ht="19.5" customHeight="1">
      <c r="B45" s="861"/>
      <c r="C45" s="353" t="s">
        <v>282</v>
      </c>
      <c r="D45" s="1059" t="s">
        <v>283</v>
      </c>
      <c r="E45" s="1060"/>
      <c r="F45" s="354" t="s">
        <v>284</v>
      </c>
      <c r="G45" s="355" t="s">
        <v>285</v>
      </c>
      <c r="H45" s="356" t="s">
        <v>286</v>
      </c>
      <c r="I45" s="357" t="s">
        <v>287</v>
      </c>
      <c r="J45" s="351" t="s">
        <v>288</v>
      </c>
      <c r="K45" s="357" t="s">
        <v>289</v>
      </c>
      <c r="L45" s="358" t="s">
        <v>290</v>
      </c>
      <c r="M45" s="359" t="s">
        <v>291</v>
      </c>
      <c r="N45" s="358" t="s">
        <v>292</v>
      </c>
    </row>
    <row r="46" spans="2:14" ht="19.5" customHeight="1">
      <c r="B46" s="861"/>
      <c r="C46" s="209"/>
      <c r="D46" s="1061" t="s">
        <v>293</v>
      </c>
      <c r="E46" s="1062"/>
      <c r="F46" s="182"/>
      <c r="G46" s="360" t="s">
        <v>294</v>
      </c>
      <c r="H46" s="360" t="s">
        <v>295</v>
      </c>
      <c r="I46" s="361"/>
      <c r="J46" s="352"/>
      <c r="K46" s="361"/>
      <c r="L46" s="362"/>
      <c r="M46" s="363" t="s">
        <v>901</v>
      </c>
      <c r="N46" s="364" t="s">
        <v>296</v>
      </c>
    </row>
    <row r="47" spans="2:14" ht="19.5" customHeight="1">
      <c r="B47" s="874" t="s">
        <v>297</v>
      </c>
      <c r="C47" s="349" t="s">
        <v>902</v>
      </c>
      <c r="D47" s="365" t="s">
        <v>298</v>
      </c>
      <c r="E47" s="366" t="s">
        <v>299</v>
      </c>
      <c r="F47" s="360" t="s">
        <v>903</v>
      </c>
      <c r="G47" s="367" t="s">
        <v>904</v>
      </c>
      <c r="H47" s="368" t="s">
        <v>905</v>
      </c>
      <c r="I47" s="369" t="s">
        <v>906</v>
      </c>
      <c r="J47" s="370" t="s">
        <v>907</v>
      </c>
      <c r="K47" s="369" t="s">
        <v>908</v>
      </c>
      <c r="L47" s="371" t="s">
        <v>300</v>
      </c>
      <c r="M47" s="363" t="s">
        <v>258</v>
      </c>
      <c r="N47" s="372" t="s">
        <v>301</v>
      </c>
    </row>
    <row r="48" spans="2:14" ht="19.5" customHeight="1">
      <c r="B48" s="874"/>
      <c r="C48" s="925" t="s">
        <v>1332</v>
      </c>
      <c r="D48" s="216" t="s">
        <v>909</v>
      </c>
      <c r="E48" s="373" t="s">
        <v>910</v>
      </c>
      <c r="F48" s="814" t="s">
        <v>911</v>
      </c>
      <c r="G48" s="814" t="s">
        <v>912</v>
      </c>
      <c r="H48" s="865" t="s">
        <v>913</v>
      </c>
      <c r="I48" s="865" t="s">
        <v>302</v>
      </c>
      <c r="J48" s="865" t="s">
        <v>303</v>
      </c>
      <c r="K48" s="814" t="s">
        <v>304</v>
      </c>
      <c r="L48" s="772" t="s">
        <v>305</v>
      </c>
      <c r="M48" s="772" t="s">
        <v>306</v>
      </c>
      <c r="N48" s="1046" t="s">
        <v>307</v>
      </c>
    </row>
    <row r="49" spans="2:14" ht="19.5" customHeight="1">
      <c r="B49" s="874"/>
      <c r="C49" s="925"/>
      <c r="D49" s="865" t="s">
        <v>308</v>
      </c>
      <c r="E49" s="814" t="s">
        <v>309</v>
      </c>
      <c r="F49" s="814"/>
      <c r="G49" s="814"/>
      <c r="H49" s="865"/>
      <c r="I49" s="865"/>
      <c r="J49" s="865"/>
      <c r="K49" s="814"/>
      <c r="L49" s="794"/>
      <c r="M49" s="865"/>
      <c r="N49" s="1046"/>
    </row>
    <row r="50" spans="2:14" ht="19.5" customHeight="1" thickBot="1">
      <c r="B50" s="374"/>
      <c r="C50" s="926"/>
      <c r="D50" s="855"/>
      <c r="E50" s="845"/>
      <c r="F50" s="866"/>
      <c r="G50" s="866"/>
      <c r="H50" s="855"/>
      <c r="I50" s="855"/>
      <c r="J50" s="855"/>
      <c r="K50" s="866"/>
      <c r="L50" s="845"/>
      <c r="M50" s="855"/>
      <c r="N50" s="375" t="s">
        <v>310</v>
      </c>
    </row>
    <row r="51" spans="2:14" ht="27" customHeight="1" hidden="1">
      <c r="B51" s="115" t="s">
        <v>311</v>
      </c>
      <c r="C51" s="376">
        <f>SUM(D51:K51)</f>
        <v>2827</v>
      </c>
      <c r="D51" s="376">
        <v>652</v>
      </c>
      <c r="E51" s="376">
        <v>454</v>
      </c>
      <c r="F51" s="376">
        <v>441</v>
      </c>
      <c r="G51" s="376">
        <v>279</v>
      </c>
      <c r="H51" s="377">
        <v>478</v>
      </c>
      <c r="I51" s="376">
        <v>2</v>
      </c>
      <c r="J51" s="378">
        <v>0</v>
      </c>
      <c r="K51" s="376">
        <v>521</v>
      </c>
      <c r="L51" s="379" t="s">
        <v>312</v>
      </c>
      <c r="M51" s="379" t="s">
        <v>312</v>
      </c>
      <c r="N51" s="380" t="s">
        <v>312</v>
      </c>
    </row>
    <row r="52" spans="2:14" ht="24.75" customHeight="1" hidden="1" thickBot="1">
      <c r="B52" s="112" t="s">
        <v>313</v>
      </c>
      <c r="C52" s="376">
        <f>SUM(D52:K52)</f>
        <v>2925</v>
      </c>
      <c r="D52" s="376">
        <v>774</v>
      </c>
      <c r="E52" s="376">
        <v>448</v>
      </c>
      <c r="F52" s="376">
        <v>447</v>
      </c>
      <c r="G52" s="376">
        <v>249</v>
      </c>
      <c r="H52" s="377">
        <v>384</v>
      </c>
      <c r="I52" s="376">
        <v>2</v>
      </c>
      <c r="J52" s="376">
        <v>23</v>
      </c>
      <c r="K52" s="376">
        <v>598</v>
      </c>
      <c r="L52" s="376">
        <v>2756</v>
      </c>
      <c r="M52" s="376">
        <v>102</v>
      </c>
      <c r="N52" s="376">
        <v>11360</v>
      </c>
    </row>
    <row r="53" spans="2:14" ht="24.75" customHeight="1" hidden="1">
      <c r="B53" s="112" t="s">
        <v>314</v>
      </c>
      <c r="C53" s="376">
        <f>SUM(D53:K53)</f>
        <v>2450</v>
      </c>
      <c r="D53" s="376">
        <v>713</v>
      </c>
      <c r="E53" s="376">
        <v>480</v>
      </c>
      <c r="F53" s="376">
        <v>383</v>
      </c>
      <c r="G53" s="376">
        <v>211</v>
      </c>
      <c r="H53" s="377">
        <v>243</v>
      </c>
      <c r="I53" s="381">
        <v>0</v>
      </c>
      <c r="J53" s="376">
        <v>420</v>
      </c>
      <c r="K53" s="381">
        <v>0</v>
      </c>
      <c r="L53" s="376">
        <v>3651</v>
      </c>
      <c r="M53" s="376">
        <v>73</v>
      </c>
      <c r="N53" s="376">
        <v>8155</v>
      </c>
    </row>
    <row r="54" spans="2:14" ht="9.75" customHeight="1" hidden="1">
      <c r="B54" s="122"/>
      <c r="C54" s="376"/>
      <c r="D54" s="376"/>
      <c r="E54" s="376"/>
      <c r="F54" s="376"/>
      <c r="G54" s="376"/>
      <c r="H54" s="377"/>
      <c r="I54" s="206"/>
      <c r="J54" s="206"/>
      <c r="K54" s="206"/>
      <c r="L54" s="206"/>
      <c r="M54" s="206"/>
      <c r="N54" s="206"/>
    </row>
    <row r="55" spans="2:14" ht="24.75" customHeight="1" hidden="1">
      <c r="B55" s="112" t="s">
        <v>315</v>
      </c>
      <c r="C55" s="382">
        <f>SUM(D55:K55)</f>
        <v>3058</v>
      </c>
      <c r="D55" s="382">
        <v>689</v>
      </c>
      <c r="E55" s="376">
        <v>427</v>
      </c>
      <c r="F55" s="376">
        <v>338</v>
      </c>
      <c r="G55" s="376">
        <v>261</v>
      </c>
      <c r="H55" s="377">
        <v>879</v>
      </c>
      <c r="I55" s="376">
        <v>1</v>
      </c>
      <c r="J55" s="376">
        <v>460</v>
      </c>
      <c r="K55" s="376">
        <v>3</v>
      </c>
      <c r="L55" s="376">
        <v>51138</v>
      </c>
      <c r="M55" s="376">
        <v>4153</v>
      </c>
      <c r="N55" s="376">
        <v>17157</v>
      </c>
    </row>
    <row r="56" spans="2:14" ht="24.75" customHeight="1" hidden="1">
      <c r="B56" s="112" t="s">
        <v>316</v>
      </c>
      <c r="C56" s="382">
        <f>SUM(D56:K56)</f>
        <v>2306</v>
      </c>
      <c r="D56" s="382">
        <v>558</v>
      </c>
      <c r="E56" s="376">
        <v>353</v>
      </c>
      <c r="F56" s="376">
        <v>393</v>
      </c>
      <c r="G56" s="376">
        <v>175</v>
      </c>
      <c r="H56" s="377">
        <v>216</v>
      </c>
      <c r="I56" s="381">
        <v>0</v>
      </c>
      <c r="J56" s="376">
        <v>341</v>
      </c>
      <c r="K56" s="376">
        <v>270</v>
      </c>
      <c r="L56" s="376">
        <v>21568</v>
      </c>
      <c r="M56" s="376">
        <v>670</v>
      </c>
      <c r="N56" s="376">
        <v>5329</v>
      </c>
    </row>
    <row r="57" spans="2:14" ht="27.75" customHeight="1" hidden="1">
      <c r="B57" s="112" t="s">
        <v>317</v>
      </c>
      <c r="C57" s="383">
        <f>SUM(D57:K57)</f>
        <v>3002</v>
      </c>
      <c r="D57" s="383">
        <v>795</v>
      </c>
      <c r="E57" s="217">
        <v>352</v>
      </c>
      <c r="F57" s="217">
        <v>454</v>
      </c>
      <c r="G57" s="217">
        <v>172</v>
      </c>
      <c r="H57" s="217">
        <v>424</v>
      </c>
      <c r="I57" s="384">
        <v>0</v>
      </c>
      <c r="J57" s="217">
        <v>444</v>
      </c>
      <c r="K57" s="217">
        <v>361</v>
      </c>
      <c r="L57" s="217">
        <v>9645</v>
      </c>
      <c r="M57" s="217">
        <v>120</v>
      </c>
      <c r="N57" s="217">
        <v>6937</v>
      </c>
    </row>
    <row r="58" spans="2:14" ht="27.75" customHeight="1">
      <c r="B58" s="112" t="s">
        <v>318</v>
      </c>
      <c r="C58" s="383">
        <f>SUM(D58:K58)</f>
        <v>2709</v>
      </c>
      <c r="D58" s="383">
        <v>844</v>
      </c>
      <c r="E58" s="217">
        <v>402</v>
      </c>
      <c r="F58" s="217">
        <v>386</v>
      </c>
      <c r="G58" s="217">
        <v>214</v>
      </c>
      <c r="H58" s="217">
        <v>858</v>
      </c>
      <c r="I58" s="384">
        <v>0</v>
      </c>
      <c r="J58" s="384">
        <v>0</v>
      </c>
      <c r="K58" s="217">
        <v>5</v>
      </c>
      <c r="L58" s="217">
        <v>31061</v>
      </c>
      <c r="M58" s="217">
        <v>593</v>
      </c>
      <c r="N58" s="217">
        <v>9720</v>
      </c>
    </row>
    <row r="59" spans="2:14" ht="27.75" customHeight="1">
      <c r="B59" s="112" t="s">
        <v>319</v>
      </c>
      <c r="C59" s="383">
        <f>SUM(D59:K59)</f>
        <v>2819</v>
      </c>
      <c r="D59" s="383">
        <v>883</v>
      </c>
      <c r="E59" s="217">
        <v>356</v>
      </c>
      <c r="F59" s="217">
        <v>454</v>
      </c>
      <c r="G59" s="217">
        <v>211</v>
      </c>
      <c r="H59" s="217">
        <v>412</v>
      </c>
      <c r="I59" s="217">
        <v>2</v>
      </c>
      <c r="J59" s="217">
        <v>497</v>
      </c>
      <c r="K59" s="217">
        <v>4</v>
      </c>
      <c r="L59" s="217">
        <v>35832</v>
      </c>
      <c r="M59" s="217">
        <v>883</v>
      </c>
      <c r="N59" s="217">
        <v>9052</v>
      </c>
    </row>
    <row r="60" spans="2:14" ht="27.75" customHeight="1">
      <c r="B60" s="112" t="s">
        <v>320</v>
      </c>
      <c r="C60" s="383">
        <v>2949</v>
      </c>
      <c r="D60" s="383">
        <v>847</v>
      </c>
      <c r="E60" s="383">
        <v>374</v>
      </c>
      <c r="F60" s="383">
        <v>478</v>
      </c>
      <c r="G60" s="383">
        <v>221</v>
      </c>
      <c r="H60" s="383">
        <v>388</v>
      </c>
      <c r="I60" s="383">
        <f>SUM(I61:I64)</f>
        <v>1</v>
      </c>
      <c r="J60" s="383">
        <f>SUM(J61:J64)</f>
        <v>639</v>
      </c>
      <c r="K60" s="217">
        <f>SUM(K61:K64)</f>
        <v>1</v>
      </c>
      <c r="L60" s="217">
        <v>35714</v>
      </c>
      <c r="M60" s="217">
        <v>917</v>
      </c>
      <c r="N60" s="217">
        <v>9429</v>
      </c>
    </row>
    <row r="61" spans="2:14" ht="27" customHeight="1" hidden="1">
      <c r="B61" s="218" t="s">
        <v>321</v>
      </c>
      <c r="C61" s="383">
        <f aca="true" t="shared" si="0" ref="C61:H61">SUM(C62:C69)</f>
        <v>6519</v>
      </c>
      <c r="D61" s="383">
        <f t="shared" si="0"/>
        <v>1774</v>
      </c>
      <c r="E61" s="383">
        <f t="shared" si="0"/>
        <v>828</v>
      </c>
      <c r="F61" s="383">
        <f t="shared" si="0"/>
        <v>1033</v>
      </c>
      <c r="G61" s="383">
        <f t="shared" si="0"/>
        <v>427</v>
      </c>
      <c r="H61" s="383">
        <f t="shared" si="0"/>
        <v>902</v>
      </c>
      <c r="I61" s="383">
        <v>1</v>
      </c>
      <c r="J61" s="383">
        <v>111</v>
      </c>
      <c r="K61" s="217">
        <v>0</v>
      </c>
      <c r="L61" s="217">
        <v>10030</v>
      </c>
      <c r="M61" s="217">
        <v>181</v>
      </c>
      <c r="N61" s="217">
        <v>2908</v>
      </c>
    </row>
    <row r="62" spans="2:14" ht="27" customHeight="1" hidden="1">
      <c r="B62" s="218" t="s">
        <v>322</v>
      </c>
      <c r="C62" s="383">
        <f>SUM(D62:K62)</f>
        <v>801</v>
      </c>
      <c r="D62" s="383">
        <v>228</v>
      </c>
      <c r="E62" s="383">
        <v>109</v>
      </c>
      <c r="F62" s="383">
        <v>123</v>
      </c>
      <c r="G62" s="383">
        <v>91</v>
      </c>
      <c r="H62" s="383">
        <v>103</v>
      </c>
      <c r="I62" s="385">
        <v>0</v>
      </c>
      <c r="J62" s="383">
        <v>147</v>
      </c>
      <c r="K62" s="217">
        <v>0</v>
      </c>
      <c r="L62" s="217">
        <v>11746</v>
      </c>
      <c r="M62" s="217">
        <v>264</v>
      </c>
      <c r="N62" s="217">
        <v>2396</v>
      </c>
    </row>
    <row r="63" spans="2:14" ht="27" customHeight="1" hidden="1">
      <c r="B63" s="218" t="s">
        <v>323</v>
      </c>
      <c r="C63" s="383">
        <v>842</v>
      </c>
      <c r="D63" s="383">
        <v>255</v>
      </c>
      <c r="E63" s="383">
        <v>130</v>
      </c>
      <c r="F63" s="383">
        <v>100</v>
      </c>
      <c r="G63" s="383">
        <v>42</v>
      </c>
      <c r="H63" s="383">
        <v>82</v>
      </c>
      <c r="I63" s="385">
        <v>0</v>
      </c>
      <c r="J63" s="383">
        <v>233</v>
      </c>
      <c r="K63" s="217">
        <v>0</v>
      </c>
      <c r="L63" s="217">
        <v>4948</v>
      </c>
      <c r="M63" s="217">
        <v>365</v>
      </c>
      <c r="N63" s="217">
        <v>2839</v>
      </c>
    </row>
    <row r="64" spans="2:14" ht="27" customHeight="1" hidden="1">
      <c r="B64" s="218" t="s">
        <v>324</v>
      </c>
      <c r="C64" s="383">
        <f>SUM(D64:K64)</f>
        <v>745</v>
      </c>
      <c r="D64" s="383">
        <v>198</v>
      </c>
      <c r="E64" s="383">
        <v>81</v>
      </c>
      <c r="F64" s="383">
        <v>161</v>
      </c>
      <c r="G64" s="383">
        <v>33</v>
      </c>
      <c r="H64" s="383">
        <v>123</v>
      </c>
      <c r="I64" s="385">
        <v>0</v>
      </c>
      <c r="J64" s="383">
        <v>148</v>
      </c>
      <c r="K64" s="217">
        <v>1</v>
      </c>
      <c r="L64" s="217">
        <v>8990</v>
      </c>
      <c r="M64" s="217">
        <v>107</v>
      </c>
      <c r="N64" s="217">
        <v>1286</v>
      </c>
    </row>
    <row r="65" spans="2:15" ht="27.75" customHeight="1">
      <c r="B65" s="112" t="s">
        <v>325</v>
      </c>
      <c r="C65" s="383">
        <f aca="true" t="shared" si="1" ref="C65:H65">SUM(C66:C72)</f>
        <v>2796</v>
      </c>
      <c r="D65" s="383">
        <f t="shared" si="1"/>
        <v>768</v>
      </c>
      <c r="E65" s="383">
        <f t="shared" si="1"/>
        <v>353</v>
      </c>
      <c r="F65" s="383">
        <f t="shared" si="1"/>
        <v>447</v>
      </c>
      <c r="G65" s="383">
        <f t="shared" si="1"/>
        <v>166</v>
      </c>
      <c r="H65" s="383">
        <f t="shared" si="1"/>
        <v>391</v>
      </c>
      <c r="I65" s="384">
        <v>0</v>
      </c>
      <c r="J65" s="383">
        <f>SUM(J66:J72)</f>
        <v>670</v>
      </c>
      <c r="K65" s="217">
        <f>SUM(K66:K72)</f>
        <v>1</v>
      </c>
      <c r="L65" s="383">
        <f>SUM(L66:L72)</f>
        <v>42234</v>
      </c>
      <c r="M65" s="383">
        <f>SUM(M66:M72)</f>
        <v>1237</v>
      </c>
      <c r="N65" s="383">
        <f>SUM(N66:N72)</f>
        <v>11078.5</v>
      </c>
      <c r="O65" s="386"/>
    </row>
    <row r="66" spans="2:14" ht="12.75" customHeight="1" hidden="1">
      <c r="B66" s="112" t="s">
        <v>321</v>
      </c>
      <c r="C66" s="753">
        <f>SUM(D66:K66)</f>
        <v>583</v>
      </c>
      <c r="D66" s="1024">
        <v>146</v>
      </c>
      <c r="E66" s="1024">
        <v>59</v>
      </c>
      <c r="F66" s="1024">
        <v>107</v>
      </c>
      <c r="G66" s="1024">
        <v>32</v>
      </c>
      <c r="H66" s="1024">
        <v>104</v>
      </c>
      <c r="I66" s="384">
        <v>0</v>
      </c>
      <c r="J66" s="1024">
        <v>134</v>
      </c>
      <c r="K66" s="1024">
        <v>1</v>
      </c>
      <c r="L66" s="1024">
        <v>10224</v>
      </c>
      <c r="M66" s="1024">
        <v>442</v>
      </c>
      <c r="N66" s="1024">
        <v>2032</v>
      </c>
    </row>
    <row r="67" spans="2:14" ht="12.75" customHeight="1" hidden="1">
      <c r="B67" s="122" t="s">
        <v>1333</v>
      </c>
      <c r="C67" s="753"/>
      <c r="D67" s="1024"/>
      <c r="E67" s="1024"/>
      <c r="F67" s="1024"/>
      <c r="G67" s="1024"/>
      <c r="H67" s="1024"/>
      <c r="I67" s="384">
        <v>0</v>
      </c>
      <c r="J67" s="1024"/>
      <c r="K67" s="1024"/>
      <c r="L67" s="1024"/>
      <c r="M67" s="1024"/>
      <c r="N67" s="1024"/>
    </row>
    <row r="68" spans="2:14" ht="12.75" customHeight="1" hidden="1">
      <c r="B68" s="112" t="s">
        <v>322</v>
      </c>
      <c r="C68" s="753">
        <f>SUM(D68:K68)</f>
        <v>752</v>
      </c>
      <c r="D68" s="1024">
        <v>179</v>
      </c>
      <c r="E68" s="1024">
        <v>96</v>
      </c>
      <c r="F68" s="1024">
        <v>95</v>
      </c>
      <c r="G68" s="1024">
        <v>63</v>
      </c>
      <c r="H68" s="1024">
        <v>99</v>
      </c>
      <c r="I68" s="1063">
        <v>0</v>
      </c>
      <c r="J68" s="1024">
        <v>220</v>
      </c>
      <c r="K68" s="1063">
        <v>0</v>
      </c>
      <c r="L68" s="1024">
        <v>5167</v>
      </c>
      <c r="M68" s="1024">
        <v>313</v>
      </c>
      <c r="N68" s="1024">
        <v>4027</v>
      </c>
    </row>
    <row r="69" spans="2:14" ht="12.75" customHeight="1" hidden="1">
      <c r="B69" s="122" t="s">
        <v>1334</v>
      </c>
      <c r="C69" s="753"/>
      <c r="D69" s="1024"/>
      <c r="E69" s="1024"/>
      <c r="F69" s="1024"/>
      <c r="G69" s="1024"/>
      <c r="H69" s="1024"/>
      <c r="I69" s="783"/>
      <c r="J69" s="1024"/>
      <c r="K69" s="1063"/>
      <c r="L69" s="1024"/>
      <c r="M69" s="1024"/>
      <c r="N69" s="1024"/>
    </row>
    <row r="70" spans="2:17" ht="12.75" customHeight="1" hidden="1">
      <c r="B70" s="112" t="s">
        <v>323</v>
      </c>
      <c r="C70" s="753">
        <f>SUM(D70:K70)</f>
        <v>797</v>
      </c>
      <c r="D70" s="1024">
        <v>263</v>
      </c>
      <c r="E70" s="1024">
        <v>116</v>
      </c>
      <c r="F70" s="1024">
        <v>97</v>
      </c>
      <c r="G70" s="1024">
        <v>46</v>
      </c>
      <c r="H70" s="1024">
        <v>100</v>
      </c>
      <c r="I70" s="1063">
        <v>0</v>
      </c>
      <c r="J70" s="1024">
        <v>175</v>
      </c>
      <c r="K70" s="1063">
        <v>0</v>
      </c>
      <c r="L70" s="1024">
        <v>9537</v>
      </c>
      <c r="M70" s="1024">
        <v>228</v>
      </c>
      <c r="N70" s="1024">
        <v>3256.5</v>
      </c>
      <c r="P70" s="5"/>
      <c r="Q70" s="148"/>
    </row>
    <row r="71" spans="2:17" ht="12.75" customHeight="1" hidden="1">
      <c r="B71" s="122" t="s">
        <v>1335</v>
      </c>
      <c r="C71" s="753"/>
      <c r="D71" s="1024"/>
      <c r="E71" s="1024"/>
      <c r="F71" s="1024"/>
      <c r="G71" s="1024"/>
      <c r="H71" s="1024"/>
      <c r="I71" s="783"/>
      <c r="J71" s="1024"/>
      <c r="K71" s="1063"/>
      <c r="L71" s="1024"/>
      <c r="M71" s="1024"/>
      <c r="N71" s="1024"/>
      <c r="P71" s="5"/>
      <c r="Q71" s="148"/>
    </row>
    <row r="72" spans="2:14" ht="12.75" customHeight="1" hidden="1">
      <c r="B72" s="112" t="s">
        <v>324</v>
      </c>
      <c r="C72" s="753">
        <v>664</v>
      </c>
      <c r="D72" s="1024">
        <v>180</v>
      </c>
      <c r="E72" s="1024">
        <v>82</v>
      </c>
      <c r="F72" s="1024">
        <v>148</v>
      </c>
      <c r="G72" s="1024">
        <v>25</v>
      </c>
      <c r="H72" s="1024">
        <v>88</v>
      </c>
      <c r="I72" s="1063">
        <v>0</v>
      </c>
      <c r="J72" s="1024">
        <v>141</v>
      </c>
      <c r="K72" s="1063">
        <v>0</v>
      </c>
      <c r="L72" s="1024">
        <v>17306</v>
      </c>
      <c r="M72" s="1024">
        <v>254</v>
      </c>
      <c r="N72" s="1024">
        <v>1763</v>
      </c>
    </row>
    <row r="73" spans="2:14" ht="12.75" customHeight="1" hidden="1">
      <c r="B73" s="122" t="s">
        <v>1336</v>
      </c>
      <c r="C73" s="753"/>
      <c r="D73" s="1024"/>
      <c r="E73" s="1024"/>
      <c r="F73" s="1024"/>
      <c r="G73" s="1024"/>
      <c r="H73" s="1024"/>
      <c r="I73" s="783"/>
      <c r="J73" s="1024"/>
      <c r="K73" s="1063"/>
      <c r="L73" s="1024"/>
      <c r="M73" s="1024"/>
      <c r="N73" s="1024"/>
    </row>
    <row r="74" spans="2:14" ht="27.75" customHeight="1">
      <c r="B74" s="112" t="s">
        <v>326</v>
      </c>
      <c r="C74" s="387">
        <f aca="true" t="shared" si="2" ref="C74:N74">SUM(C75:C82)</f>
        <v>2830</v>
      </c>
      <c r="D74" s="383">
        <f t="shared" si="2"/>
        <v>804</v>
      </c>
      <c r="E74" s="383">
        <f t="shared" si="2"/>
        <v>408</v>
      </c>
      <c r="F74" s="383">
        <f t="shared" si="2"/>
        <v>525</v>
      </c>
      <c r="G74" s="383">
        <f t="shared" si="2"/>
        <v>146</v>
      </c>
      <c r="H74" s="383">
        <f t="shared" si="2"/>
        <v>445</v>
      </c>
      <c r="I74" s="384">
        <f t="shared" si="2"/>
        <v>0</v>
      </c>
      <c r="J74" s="383">
        <f t="shared" si="2"/>
        <v>502</v>
      </c>
      <c r="K74" s="384">
        <f t="shared" si="2"/>
        <v>0</v>
      </c>
      <c r="L74" s="383">
        <f t="shared" si="2"/>
        <v>42868</v>
      </c>
      <c r="M74" s="383">
        <f t="shared" si="2"/>
        <v>689</v>
      </c>
      <c r="N74" s="383">
        <f t="shared" si="2"/>
        <v>7549</v>
      </c>
    </row>
    <row r="75" spans="2:14" ht="12.75" customHeight="1" hidden="1">
      <c r="B75" s="112" t="s">
        <v>327</v>
      </c>
      <c r="C75" s="753">
        <f>SUM(D75:K76)</f>
        <v>574</v>
      </c>
      <c r="D75" s="1024">
        <v>146</v>
      </c>
      <c r="E75" s="1024">
        <v>63</v>
      </c>
      <c r="F75" s="1024">
        <v>112</v>
      </c>
      <c r="G75" s="1024">
        <v>41</v>
      </c>
      <c r="H75" s="1024">
        <v>96</v>
      </c>
      <c r="I75" s="1063">
        <v>0</v>
      </c>
      <c r="J75" s="1024">
        <v>116</v>
      </c>
      <c r="K75" s="384">
        <v>0</v>
      </c>
      <c r="L75" s="1024">
        <v>3840</v>
      </c>
      <c r="M75" s="1024">
        <v>208</v>
      </c>
      <c r="N75" s="1024">
        <v>2549</v>
      </c>
    </row>
    <row r="76" spans="2:14" ht="12.75" customHeight="1" hidden="1">
      <c r="B76" s="122" t="s">
        <v>1333</v>
      </c>
      <c r="C76" s="1038"/>
      <c r="D76" s="790"/>
      <c r="E76" s="790"/>
      <c r="F76" s="790"/>
      <c r="G76" s="790"/>
      <c r="H76" s="790"/>
      <c r="I76" s="1064"/>
      <c r="J76" s="790"/>
      <c r="K76" s="217">
        <v>0</v>
      </c>
      <c r="L76" s="790"/>
      <c r="M76" s="790"/>
      <c r="N76" s="790"/>
    </row>
    <row r="77" spans="2:14" ht="12.75" customHeight="1" hidden="1">
      <c r="B77" s="112" t="s">
        <v>328</v>
      </c>
      <c r="C77" s="1038">
        <f>SUM(D77:K78)</f>
        <v>663</v>
      </c>
      <c r="D77" s="1024">
        <v>167</v>
      </c>
      <c r="E77" s="1024">
        <v>90</v>
      </c>
      <c r="F77" s="1024">
        <v>124</v>
      </c>
      <c r="G77" s="1024">
        <v>42</v>
      </c>
      <c r="H77" s="1024">
        <v>93</v>
      </c>
      <c r="I77" s="1028">
        <v>0</v>
      </c>
      <c r="J77" s="1024">
        <v>147</v>
      </c>
      <c r="K77" s="384">
        <v>0</v>
      </c>
      <c r="L77" s="1024">
        <v>5928</v>
      </c>
      <c r="M77" s="1024">
        <v>177</v>
      </c>
      <c r="N77" s="1024">
        <v>2137</v>
      </c>
    </row>
    <row r="78" spans="2:14" ht="12.75" customHeight="1" hidden="1">
      <c r="B78" s="122" t="s">
        <v>1334</v>
      </c>
      <c r="C78" s="1038"/>
      <c r="D78" s="1024"/>
      <c r="E78" s="1024"/>
      <c r="F78" s="1024"/>
      <c r="G78" s="1024"/>
      <c r="H78" s="1024"/>
      <c r="I78" s="1029"/>
      <c r="J78" s="1024"/>
      <c r="K78" s="217">
        <v>0</v>
      </c>
      <c r="L78" s="1024"/>
      <c r="M78" s="1024"/>
      <c r="N78" s="1024"/>
    </row>
    <row r="79" spans="2:14" ht="12.75" customHeight="1" hidden="1">
      <c r="B79" s="112" t="s">
        <v>329</v>
      </c>
      <c r="C79" s="1038">
        <f>SUM(D79:K80)</f>
        <v>768</v>
      </c>
      <c r="D79" s="1024">
        <v>242</v>
      </c>
      <c r="E79" s="1024">
        <v>118</v>
      </c>
      <c r="F79" s="1024">
        <v>124</v>
      </c>
      <c r="G79" s="1024">
        <v>36</v>
      </c>
      <c r="H79" s="1024">
        <v>127</v>
      </c>
      <c r="I79" s="1028">
        <v>0</v>
      </c>
      <c r="J79" s="1024">
        <v>121</v>
      </c>
      <c r="K79" s="1028">
        <v>0</v>
      </c>
      <c r="L79" s="1024">
        <v>19349</v>
      </c>
      <c r="M79" s="1024">
        <v>172</v>
      </c>
      <c r="N79" s="1024">
        <v>2010</v>
      </c>
    </row>
    <row r="80" spans="2:14" ht="12.75" customHeight="1" hidden="1">
      <c r="B80" s="122" t="s">
        <v>1335</v>
      </c>
      <c r="C80" s="1038"/>
      <c r="D80" s="1024"/>
      <c r="E80" s="1024"/>
      <c r="F80" s="1024"/>
      <c r="G80" s="1024"/>
      <c r="H80" s="1024"/>
      <c r="I80" s="1029"/>
      <c r="J80" s="1024"/>
      <c r="K80" s="1028"/>
      <c r="L80" s="1024"/>
      <c r="M80" s="1024"/>
      <c r="N80" s="1024"/>
    </row>
    <row r="81" spans="2:14" ht="12.75" customHeight="1" hidden="1">
      <c r="B81" s="112" t="s">
        <v>330</v>
      </c>
      <c r="C81" s="1038">
        <f>SUM(D81:K82)</f>
        <v>825</v>
      </c>
      <c r="D81" s="1024">
        <v>249</v>
      </c>
      <c r="E81" s="1024">
        <v>137</v>
      </c>
      <c r="F81" s="1024">
        <v>165</v>
      </c>
      <c r="G81" s="1024">
        <v>27</v>
      </c>
      <c r="H81" s="1024">
        <v>129</v>
      </c>
      <c r="I81" s="1028">
        <v>0</v>
      </c>
      <c r="J81" s="1024">
        <v>118</v>
      </c>
      <c r="K81" s="1028">
        <v>0</v>
      </c>
      <c r="L81" s="1024">
        <v>13751</v>
      </c>
      <c r="M81" s="1024">
        <v>132</v>
      </c>
      <c r="N81" s="1024">
        <v>853</v>
      </c>
    </row>
    <row r="82" spans="2:14" ht="12.75" customHeight="1" hidden="1">
      <c r="B82" s="122" t="s">
        <v>1336</v>
      </c>
      <c r="C82" s="1038"/>
      <c r="D82" s="1024"/>
      <c r="E82" s="1024"/>
      <c r="F82" s="1024"/>
      <c r="G82" s="1024"/>
      <c r="H82" s="1024"/>
      <c r="I82" s="1029"/>
      <c r="J82" s="1024"/>
      <c r="K82" s="1028"/>
      <c r="L82" s="1024"/>
      <c r="M82" s="1024"/>
      <c r="N82" s="1024"/>
    </row>
    <row r="83" spans="2:14" ht="27.75" customHeight="1">
      <c r="B83" s="112" t="s">
        <v>331</v>
      </c>
      <c r="C83" s="388">
        <f aca="true" t="shared" si="3" ref="C83:N83">SUM(C84:C91)</f>
        <v>3177</v>
      </c>
      <c r="D83" s="383">
        <f t="shared" si="3"/>
        <v>694</v>
      </c>
      <c r="E83" s="383">
        <f t="shared" si="3"/>
        <v>562</v>
      </c>
      <c r="F83" s="383">
        <f t="shared" si="3"/>
        <v>627</v>
      </c>
      <c r="G83" s="383">
        <f t="shared" si="3"/>
        <v>189</v>
      </c>
      <c r="H83" s="383">
        <f t="shared" si="3"/>
        <v>559</v>
      </c>
      <c r="I83" s="384">
        <f t="shared" si="3"/>
        <v>0</v>
      </c>
      <c r="J83" s="383">
        <f t="shared" si="3"/>
        <v>541</v>
      </c>
      <c r="K83" s="383">
        <f t="shared" si="3"/>
        <v>5</v>
      </c>
      <c r="L83" s="383">
        <f t="shared" si="3"/>
        <v>41991</v>
      </c>
      <c r="M83" s="383">
        <f t="shared" si="3"/>
        <v>349</v>
      </c>
      <c r="N83" s="383">
        <f t="shared" si="3"/>
        <v>8834</v>
      </c>
    </row>
    <row r="84" spans="2:14" ht="12.75" customHeight="1" hidden="1">
      <c r="B84" s="112" t="s">
        <v>327</v>
      </c>
      <c r="C84" s="1038">
        <f>SUM(D84:K85)</f>
        <v>569</v>
      </c>
      <c r="D84" s="1024">
        <v>127</v>
      </c>
      <c r="E84" s="1024">
        <v>68</v>
      </c>
      <c r="F84" s="1024">
        <v>132</v>
      </c>
      <c r="G84" s="1024">
        <v>28</v>
      </c>
      <c r="H84" s="1024">
        <v>108</v>
      </c>
      <c r="I84" s="1028">
        <v>0</v>
      </c>
      <c r="J84" s="1024">
        <v>105</v>
      </c>
      <c r="K84" s="1028">
        <v>1</v>
      </c>
      <c r="L84" s="1024">
        <v>2961</v>
      </c>
      <c r="M84" s="1024">
        <v>58</v>
      </c>
      <c r="N84" s="1024">
        <v>1264</v>
      </c>
    </row>
    <row r="85" spans="2:14" ht="12.75" customHeight="1" hidden="1">
      <c r="B85" s="122" t="s">
        <v>1333</v>
      </c>
      <c r="C85" s="1038"/>
      <c r="D85" s="1024"/>
      <c r="E85" s="1024"/>
      <c r="F85" s="1024"/>
      <c r="G85" s="1024"/>
      <c r="H85" s="1024"/>
      <c r="I85" s="1029"/>
      <c r="J85" s="1024"/>
      <c r="K85" s="1028"/>
      <c r="L85" s="1024"/>
      <c r="M85" s="1024"/>
      <c r="N85" s="1024"/>
    </row>
    <row r="86" spans="2:14" ht="12.75" customHeight="1" hidden="1">
      <c r="B86" s="112" t="s">
        <v>328</v>
      </c>
      <c r="C86" s="1038">
        <f>SUM(D86:K87)</f>
        <v>789</v>
      </c>
      <c r="D86" s="1024">
        <v>155</v>
      </c>
      <c r="E86" s="1024">
        <v>122</v>
      </c>
      <c r="F86" s="1024">
        <v>165</v>
      </c>
      <c r="G86" s="1024">
        <v>58</v>
      </c>
      <c r="H86" s="1024">
        <v>137</v>
      </c>
      <c r="I86" s="1028">
        <v>0</v>
      </c>
      <c r="J86" s="1024">
        <v>152</v>
      </c>
      <c r="K86" s="1028">
        <v>0</v>
      </c>
      <c r="L86" s="1024">
        <v>8890</v>
      </c>
      <c r="M86" s="1024">
        <v>92</v>
      </c>
      <c r="N86" s="1024">
        <v>1038</v>
      </c>
    </row>
    <row r="87" spans="2:14" ht="12.75" customHeight="1" hidden="1">
      <c r="B87" s="122" t="s">
        <v>1334</v>
      </c>
      <c r="C87" s="1038"/>
      <c r="D87" s="1024"/>
      <c r="E87" s="1024"/>
      <c r="F87" s="1024"/>
      <c r="G87" s="1024"/>
      <c r="H87" s="1024"/>
      <c r="I87" s="1029"/>
      <c r="J87" s="1024"/>
      <c r="K87" s="1028"/>
      <c r="L87" s="1024"/>
      <c r="M87" s="1024"/>
      <c r="N87" s="1024"/>
    </row>
    <row r="88" spans="2:14" ht="12.75" customHeight="1" hidden="1">
      <c r="B88" s="112" t="s">
        <v>329</v>
      </c>
      <c r="C88" s="1038">
        <f>SUM(D88:K89)</f>
        <v>914</v>
      </c>
      <c r="D88" s="1024">
        <v>252</v>
      </c>
      <c r="E88" s="1024">
        <v>172</v>
      </c>
      <c r="F88" s="1024">
        <v>147</v>
      </c>
      <c r="G88" s="1024">
        <v>46</v>
      </c>
      <c r="H88" s="1024">
        <v>174</v>
      </c>
      <c r="I88" s="1028">
        <v>0</v>
      </c>
      <c r="J88" s="1024">
        <v>123</v>
      </c>
      <c r="K88" s="1028">
        <v>0</v>
      </c>
      <c r="L88" s="1024">
        <v>17242</v>
      </c>
      <c r="M88" s="1024">
        <v>106</v>
      </c>
      <c r="N88" s="1024">
        <v>3953</v>
      </c>
    </row>
    <row r="89" spans="2:14" ht="12.75" customHeight="1" hidden="1">
      <c r="B89" s="122" t="s">
        <v>1335</v>
      </c>
      <c r="C89" s="1038"/>
      <c r="D89" s="1024"/>
      <c r="E89" s="1024"/>
      <c r="F89" s="1024"/>
      <c r="G89" s="1024"/>
      <c r="H89" s="1024"/>
      <c r="I89" s="1029"/>
      <c r="J89" s="1024"/>
      <c r="K89" s="1028"/>
      <c r="L89" s="1024"/>
      <c r="M89" s="1024"/>
      <c r="N89" s="1024"/>
    </row>
    <row r="90" spans="2:14" ht="12.75" customHeight="1" hidden="1">
      <c r="B90" s="112" t="s">
        <v>330</v>
      </c>
      <c r="C90" s="1038">
        <f>SUM(D90:K91)</f>
        <v>905</v>
      </c>
      <c r="D90" s="1024">
        <v>160</v>
      </c>
      <c r="E90" s="1024">
        <v>200</v>
      </c>
      <c r="F90" s="1024">
        <v>183</v>
      </c>
      <c r="G90" s="1024">
        <v>57</v>
      </c>
      <c r="H90" s="1024">
        <v>140</v>
      </c>
      <c r="I90" s="1028">
        <v>0</v>
      </c>
      <c r="J90" s="1024">
        <v>161</v>
      </c>
      <c r="K90" s="1028">
        <v>4</v>
      </c>
      <c r="L90" s="1024">
        <v>12898</v>
      </c>
      <c r="M90" s="1024">
        <v>93</v>
      </c>
      <c r="N90" s="1024">
        <v>2579</v>
      </c>
    </row>
    <row r="91" spans="2:14" ht="12.75" customHeight="1" hidden="1">
      <c r="B91" s="122" t="s">
        <v>1336</v>
      </c>
      <c r="C91" s="1038"/>
      <c r="D91" s="1024"/>
      <c r="E91" s="1024"/>
      <c r="F91" s="1024"/>
      <c r="G91" s="1024"/>
      <c r="H91" s="1024"/>
      <c r="I91" s="1029"/>
      <c r="J91" s="1024"/>
      <c r="K91" s="1028"/>
      <c r="L91" s="1024"/>
      <c r="M91" s="1024"/>
      <c r="N91" s="1024"/>
    </row>
    <row r="92" spans="2:14" ht="10.5" customHeight="1" hidden="1">
      <c r="B92" s="122"/>
      <c r="C92" s="388"/>
      <c r="D92" s="383"/>
      <c r="E92" s="383"/>
      <c r="F92" s="383"/>
      <c r="G92" s="383"/>
      <c r="H92" s="383"/>
      <c r="I92" s="219"/>
      <c r="J92" s="383"/>
      <c r="K92" s="389"/>
      <c r="L92" s="383"/>
      <c r="M92" s="383"/>
      <c r="N92" s="383"/>
    </row>
    <row r="93" spans="2:14" ht="27.75" customHeight="1">
      <c r="B93" s="112" t="s">
        <v>332</v>
      </c>
      <c r="C93" s="388">
        <f aca="true" t="shared" si="4" ref="C93:N93">SUM(C94:C101)</f>
        <v>3524</v>
      </c>
      <c r="D93" s="383">
        <f t="shared" si="4"/>
        <v>779</v>
      </c>
      <c r="E93" s="389">
        <f t="shared" si="4"/>
        <v>650</v>
      </c>
      <c r="F93" s="383">
        <f t="shared" si="4"/>
        <v>702</v>
      </c>
      <c r="G93" s="389">
        <f t="shared" si="4"/>
        <v>205</v>
      </c>
      <c r="H93" s="383">
        <f t="shared" si="4"/>
        <v>607</v>
      </c>
      <c r="I93" s="389">
        <f t="shared" si="4"/>
        <v>1</v>
      </c>
      <c r="J93" s="383">
        <f t="shared" si="4"/>
        <v>575</v>
      </c>
      <c r="K93" s="389">
        <f t="shared" si="4"/>
        <v>5</v>
      </c>
      <c r="L93" s="383">
        <f t="shared" si="4"/>
        <v>48776</v>
      </c>
      <c r="M93" s="389">
        <f t="shared" si="4"/>
        <v>550</v>
      </c>
      <c r="N93" s="383">
        <f t="shared" si="4"/>
        <v>12104</v>
      </c>
    </row>
    <row r="94" spans="2:14" ht="15" customHeight="1" hidden="1">
      <c r="B94" s="112" t="s">
        <v>327</v>
      </c>
      <c r="C94" s="1038">
        <f>SUM(D94:K95)</f>
        <v>750</v>
      </c>
      <c r="D94" s="1024">
        <v>154</v>
      </c>
      <c r="E94" s="1024">
        <v>115</v>
      </c>
      <c r="F94" s="1024">
        <v>168</v>
      </c>
      <c r="G94" s="1024">
        <v>44</v>
      </c>
      <c r="H94" s="1024">
        <v>139</v>
      </c>
      <c r="I94" s="1028">
        <v>0</v>
      </c>
      <c r="J94" s="1024">
        <v>128</v>
      </c>
      <c r="K94" s="1028">
        <v>2</v>
      </c>
      <c r="L94" s="1024">
        <v>3360</v>
      </c>
      <c r="M94" s="1024">
        <v>108</v>
      </c>
      <c r="N94" s="1024">
        <v>2865</v>
      </c>
    </row>
    <row r="95" spans="2:14" ht="15" customHeight="1" hidden="1">
      <c r="B95" s="122" t="s">
        <v>1333</v>
      </c>
      <c r="C95" s="1038"/>
      <c r="D95" s="1024"/>
      <c r="E95" s="1024"/>
      <c r="F95" s="1024"/>
      <c r="G95" s="1024"/>
      <c r="H95" s="1024"/>
      <c r="I95" s="1029"/>
      <c r="J95" s="1024"/>
      <c r="K95" s="1028"/>
      <c r="L95" s="1024"/>
      <c r="M95" s="1024"/>
      <c r="N95" s="1024"/>
    </row>
    <row r="96" spans="2:14" ht="15" customHeight="1" hidden="1">
      <c r="B96" s="112" t="s">
        <v>328</v>
      </c>
      <c r="C96" s="1038">
        <f>SUM(D96:K97)</f>
        <v>892</v>
      </c>
      <c r="D96" s="1024">
        <v>176</v>
      </c>
      <c r="E96" s="1024">
        <v>143</v>
      </c>
      <c r="F96" s="1024">
        <v>195</v>
      </c>
      <c r="G96" s="1024">
        <v>48</v>
      </c>
      <c r="H96" s="1024">
        <v>160</v>
      </c>
      <c r="I96" s="1028">
        <v>1</v>
      </c>
      <c r="J96" s="1024">
        <v>167</v>
      </c>
      <c r="K96" s="1028">
        <v>2</v>
      </c>
      <c r="L96" s="1024">
        <v>13820</v>
      </c>
      <c r="M96" s="1024">
        <v>99</v>
      </c>
      <c r="N96" s="1024">
        <v>2971</v>
      </c>
    </row>
    <row r="97" spans="2:14" ht="15" customHeight="1" hidden="1">
      <c r="B97" s="122" t="s">
        <v>1334</v>
      </c>
      <c r="C97" s="1038"/>
      <c r="D97" s="1024"/>
      <c r="E97" s="1024"/>
      <c r="F97" s="1024"/>
      <c r="G97" s="1024"/>
      <c r="H97" s="1024"/>
      <c r="I97" s="1029"/>
      <c r="J97" s="1024"/>
      <c r="K97" s="1028"/>
      <c r="L97" s="1024"/>
      <c r="M97" s="1024"/>
      <c r="N97" s="1024"/>
    </row>
    <row r="98" spans="2:14" ht="15" customHeight="1" hidden="1">
      <c r="B98" s="112" t="s">
        <v>329</v>
      </c>
      <c r="C98" s="1038">
        <f>SUM(D98:K99)</f>
        <v>1028</v>
      </c>
      <c r="D98" s="1024">
        <v>250</v>
      </c>
      <c r="E98" s="1024">
        <v>217</v>
      </c>
      <c r="F98" s="1024">
        <v>152</v>
      </c>
      <c r="G98" s="1024">
        <v>66</v>
      </c>
      <c r="H98" s="1024">
        <v>172</v>
      </c>
      <c r="I98" s="1028">
        <v>0</v>
      </c>
      <c r="J98" s="1024">
        <v>171</v>
      </c>
      <c r="K98" s="1028">
        <v>0</v>
      </c>
      <c r="L98" s="1024">
        <v>16688</v>
      </c>
      <c r="M98" s="1024">
        <v>171</v>
      </c>
      <c r="N98" s="1024">
        <v>3955</v>
      </c>
    </row>
    <row r="99" spans="2:14" ht="15" customHeight="1" hidden="1">
      <c r="B99" s="122" t="s">
        <v>1335</v>
      </c>
      <c r="C99" s="1038"/>
      <c r="D99" s="1024"/>
      <c r="E99" s="1024"/>
      <c r="F99" s="1024"/>
      <c r="G99" s="1024"/>
      <c r="H99" s="1024"/>
      <c r="I99" s="1029"/>
      <c r="J99" s="1024"/>
      <c r="K99" s="1028"/>
      <c r="L99" s="1024"/>
      <c r="M99" s="1024"/>
      <c r="N99" s="1024"/>
    </row>
    <row r="100" spans="2:15" ht="15" customHeight="1" hidden="1">
      <c r="B100" s="112" t="s">
        <v>330</v>
      </c>
      <c r="C100" s="1038">
        <v>854</v>
      </c>
      <c r="D100" s="1024">
        <v>199</v>
      </c>
      <c r="E100" s="1024">
        <v>175</v>
      </c>
      <c r="F100" s="1024">
        <v>187</v>
      </c>
      <c r="G100" s="1024">
        <v>47</v>
      </c>
      <c r="H100" s="1024">
        <v>136</v>
      </c>
      <c r="I100" s="1028">
        <v>0</v>
      </c>
      <c r="J100" s="1024">
        <v>109</v>
      </c>
      <c r="K100" s="1028">
        <v>1</v>
      </c>
      <c r="L100" s="1024">
        <v>14908</v>
      </c>
      <c r="M100" s="1024">
        <v>172</v>
      </c>
      <c r="N100" s="1024">
        <v>2313</v>
      </c>
      <c r="O100" s="99"/>
    </row>
    <row r="101" spans="2:15" ht="15" customHeight="1" hidden="1">
      <c r="B101" s="122" t="s">
        <v>1336</v>
      </c>
      <c r="C101" s="1038"/>
      <c r="D101" s="1024"/>
      <c r="E101" s="1024"/>
      <c r="F101" s="1024"/>
      <c r="G101" s="1024"/>
      <c r="H101" s="1024"/>
      <c r="I101" s="1029"/>
      <c r="J101" s="1024"/>
      <c r="K101" s="1028"/>
      <c r="L101" s="1024"/>
      <c r="M101" s="1024"/>
      <c r="N101" s="1024"/>
      <c r="O101" s="99"/>
    </row>
    <row r="102" spans="2:14" ht="27.75" customHeight="1">
      <c r="B102" s="112" t="s">
        <v>333</v>
      </c>
      <c r="C102" s="388">
        <f aca="true" t="shared" si="5" ref="C102:N102">SUM(C103:C110)</f>
        <v>3747</v>
      </c>
      <c r="D102" s="389">
        <f t="shared" si="5"/>
        <v>873</v>
      </c>
      <c r="E102" s="389">
        <f t="shared" si="5"/>
        <v>855</v>
      </c>
      <c r="F102" s="389">
        <f t="shared" si="5"/>
        <v>695</v>
      </c>
      <c r="G102" s="389">
        <f t="shared" si="5"/>
        <v>255</v>
      </c>
      <c r="H102" s="389">
        <f t="shared" si="5"/>
        <v>520</v>
      </c>
      <c r="I102" s="389">
        <f t="shared" si="5"/>
        <v>0</v>
      </c>
      <c r="J102" s="389">
        <f t="shared" si="5"/>
        <v>546</v>
      </c>
      <c r="K102" s="389">
        <f t="shared" si="5"/>
        <v>3</v>
      </c>
      <c r="L102" s="389">
        <f t="shared" si="5"/>
        <v>31381</v>
      </c>
      <c r="M102" s="389">
        <f t="shared" si="5"/>
        <v>549</v>
      </c>
      <c r="N102" s="389">
        <f t="shared" si="5"/>
        <v>15368</v>
      </c>
    </row>
    <row r="103" spans="2:15" ht="12.75" customHeight="1" hidden="1">
      <c r="B103" s="112" t="s">
        <v>327</v>
      </c>
      <c r="C103" s="1038">
        <v>769</v>
      </c>
      <c r="D103" s="1024">
        <v>170</v>
      </c>
      <c r="E103" s="1024">
        <v>137</v>
      </c>
      <c r="F103" s="1024">
        <v>155</v>
      </c>
      <c r="G103" s="1024">
        <v>62</v>
      </c>
      <c r="H103" s="1024">
        <v>127</v>
      </c>
      <c r="I103" s="1028">
        <v>0</v>
      </c>
      <c r="J103" s="1024">
        <v>118</v>
      </c>
      <c r="K103" s="1028">
        <v>0</v>
      </c>
      <c r="L103" s="1024">
        <v>3072</v>
      </c>
      <c r="M103" s="1024">
        <v>89</v>
      </c>
      <c r="N103" s="1024">
        <v>5008</v>
      </c>
      <c r="O103" s="99"/>
    </row>
    <row r="104" spans="2:15" ht="12.75" customHeight="1" hidden="1">
      <c r="B104" s="122" t="s">
        <v>1333</v>
      </c>
      <c r="C104" s="1038"/>
      <c r="D104" s="1024"/>
      <c r="E104" s="1024"/>
      <c r="F104" s="1024"/>
      <c r="G104" s="1024"/>
      <c r="H104" s="1024"/>
      <c r="I104" s="1029"/>
      <c r="J104" s="1024"/>
      <c r="K104" s="1028"/>
      <c r="L104" s="1024"/>
      <c r="M104" s="1024"/>
      <c r="N104" s="1024"/>
      <c r="O104" s="99"/>
    </row>
    <row r="105" spans="2:15" ht="12.75" customHeight="1" hidden="1">
      <c r="B105" s="112" t="s">
        <v>328</v>
      </c>
      <c r="C105" s="1038">
        <v>909</v>
      </c>
      <c r="D105" s="1024">
        <v>185</v>
      </c>
      <c r="E105" s="1024">
        <v>202</v>
      </c>
      <c r="F105" s="1024">
        <v>163</v>
      </c>
      <c r="G105" s="1024">
        <v>74</v>
      </c>
      <c r="H105" s="1024">
        <v>133</v>
      </c>
      <c r="I105" s="1028">
        <v>0</v>
      </c>
      <c r="J105" s="1024">
        <v>150</v>
      </c>
      <c r="K105" s="1028">
        <v>2</v>
      </c>
      <c r="L105" s="1024">
        <v>9207</v>
      </c>
      <c r="M105" s="1024">
        <v>143</v>
      </c>
      <c r="N105" s="1024">
        <v>3015</v>
      </c>
      <c r="O105" s="99"/>
    </row>
    <row r="106" spans="2:15" ht="12.75" customHeight="1" hidden="1">
      <c r="B106" s="122" t="s">
        <v>1334</v>
      </c>
      <c r="C106" s="1038"/>
      <c r="D106" s="1024"/>
      <c r="E106" s="1024"/>
      <c r="F106" s="1024"/>
      <c r="G106" s="1024"/>
      <c r="H106" s="1024"/>
      <c r="I106" s="1029"/>
      <c r="J106" s="1024"/>
      <c r="K106" s="1028"/>
      <c r="L106" s="1024"/>
      <c r="M106" s="1024"/>
      <c r="N106" s="1024"/>
      <c r="O106" s="99"/>
    </row>
    <row r="107" spans="2:15" ht="12.75" customHeight="1" hidden="1">
      <c r="B107" s="112" t="s">
        <v>329</v>
      </c>
      <c r="C107" s="753">
        <v>1060</v>
      </c>
      <c r="D107" s="1024">
        <v>301</v>
      </c>
      <c r="E107" s="1024">
        <v>262</v>
      </c>
      <c r="F107" s="1024">
        <v>142</v>
      </c>
      <c r="G107" s="1024">
        <v>69</v>
      </c>
      <c r="H107" s="1024">
        <v>136</v>
      </c>
      <c r="I107" s="1028">
        <v>0</v>
      </c>
      <c r="J107" s="1024">
        <v>150</v>
      </c>
      <c r="K107" s="1028">
        <v>0</v>
      </c>
      <c r="L107" s="1024">
        <v>9818</v>
      </c>
      <c r="M107" s="1024">
        <v>196</v>
      </c>
      <c r="N107" s="1024">
        <v>4241</v>
      </c>
      <c r="O107" s="99"/>
    </row>
    <row r="108" spans="2:15" ht="12.75" customHeight="1" hidden="1">
      <c r="B108" s="122" t="s">
        <v>1335</v>
      </c>
      <c r="C108" s="753"/>
      <c r="D108" s="1024"/>
      <c r="E108" s="1024"/>
      <c r="F108" s="1024"/>
      <c r="G108" s="1024"/>
      <c r="H108" s="1024"/>
      <c r="I108" s="1029"/>
      <c r="J108" s="1024"/>
      <c r="K108" s="1028"/>
      <c r="L108" s="1024"/>
      <c r="M108" s="1024"/>
      <c r="N108" s="1024"/>
      <c r="O108" s="99"/>
    </row>
    <row r="109" spans="2:15" ht="12.75" customHeight="1" hidden="1">
      <c r="B109" s="112" t="s">
        <v>330</v>
      </c>
      <c r="C109" s="753">
        <v>1009</v>
      </c>
      <c r="D109" s="1024">
        <v>217</v>
      </c>
      <c r="E109" s="1024">
        <v>254</v>
      </c>
      <c r="F109" s="1024">
        <v>235</v>
      </c>
      <c r="G109" s="1024">
        <v>50</v>
      </c>
      <c r="H109" s="1024">
        <v>124</v>
      </c>
      <c r="I109" s="1028">
        <v>0</v>
      </c>
      <c r="J109" s="1024">
        <v>128</v>
      </c>
      <c r="K109" s="1028">
        <v>1</v>
      </c>
      <c r="L109" s="1024">
        <v>9284</v>
      </c>
      <c r="M109" s="1024">
        <v>121</v>
      </c>
      <c r="N109" s="1024">
        <v>3104</v>
      </c>
      <c r="O109" s="99"/>
    </row>
    <row r="110" spans="2:15" ht="16.5" customHeight="1" hidden="1">
      <c r="B110" s="122" t="s">
        <v>1336</v>
      </c>
      <c r="C110" s="753"/>
      <c r="D110" s="1024"/>
      <c r="E110" s="1024"/>
      <c r="F110" s="1024"/>
      <c r="G110" s="1024"/>
      <c r="H110" s="1024"/>
      <c r="I110" s="1029"/>
      <c r="J110" s="1024"/>
      <c r="K110" s="1028"/>
      <c r="L110" s="1024"/>
      <c r="M110" s="1024"/>
      <c r="N110" s="1024"/>
      <c r="O110" s="99"/>
    </row>
    <row r="111" spans="2:15" ht="27.75" customHeight="1">
      <c r="B111" s="112" t="s">
        <v>334</v>
      </c>
      <c r="C111" s="387">
        <f aca="true" t="shared" si="6" ref="C111:N111">SUM(C112:C119)</f>
        <v>4005</v>
      </c>
      <c r="D111" s="383">
        <f t="shared" si="6"/>
        <v>971</v>
      </c>
      <c r="E111" s="383">
        <f t="shared" si="6"/>
        <v>900</v>
      </c>
      <c r="F111" s="383">
        <f t="shared" si="6"/>
        <v>692</v>
      </c>
      <c r="G111" s="383">
        <f t="shared" si="6"/>
        <v>245</v>
      </c>
      <c r="H111" s="383">
        <f t="shared" si="6"/>
        <v>514</v>
      </c>
      <c r="I111" s="383">
        <f t="shared" si="6"/>
        <v>1</v>
      </c>
      <c r="J111" s="383">
        <f t="shared" si="6"/>
        <v>680</v>
      </c>
      <c r="K111" s="383">
        <f t="shared" si="6"/>
        <v>2</v>
      </c>
      <c r="L111" s="383">
        <f t="shared" si="6"/>
        <v>34045</v>
      </c>
      <c r="M111" s="383">
        <f t="shared" si="6"/>
        <v>502</v>
      </c>
      <c r="N111" s="383">
        <f t="shared" si="6"/>
        <v>10455</v>
      </c>
      <c r="O111" s="99"/>
    </row>
    <row r="112" spans="2:14" ht="15" customHeight="1" hidden="1">
      <c r="B112" s="112" t="s">
        <v>327</v>
      </c>
      <c r="C112" s="753">
        <v>772</v>
      </c>
      <c r="D112" s="1024">
        <v>191</v>
      </c>
      <c r="E112" s="1024">
        <v>132</v>
      </c>
      <c r="F112" s="1024">
        <v>128</v>
      </c>
      <c r="G112" s="1024">
        <v>54</v>
      </c>
      <c r="H112" s="1024">
        <v>138</v>
      </c>
      <c r="I112" s="1028">
        <v>0</v>
      </c>
      <c r="J112" s="1024">
        <v>127</v>
      </c>
      <c r="K112" s="1028">
        <v>2</v>
      </c>
      <c r="L112" s="1069">
        <v>3862</v>
      </c>
      <c r="M112" s="1024">
        <v>91</v>
      </c>
      <c r="N112" s="1024">
        <v>3230</v>
      </c>
    </row>
    <row r="113" spans="2:14" ht="15" customHeight="1" hidden="1">
      <c r="B113" s="122" t="s">
        <v>1333</v>
      </c>
      <c r="C113" s="753"/>
      <c r="D113" s="1024"/>
      <c r="E113" s="1024"/>
      <c r="F113" s="1024"/>
      <c r="G113" s="1024"/>
      <c r="H113" s="1024"/>
      <c r="I113" s="1029"/>
      <c r="J113" s="1024"/>
      <c r="K113" s="1028"/>
      <c r="L113" s="1069"/>
      <c r="M113" s="1024"/>
      <c r="N113" s="1024"/>
    </row>
    <row r="114" spans="2:14" ht="15" customHeight="1" hidden="1">
      <c r="B114" s="112" t="s">
        <v>328</v>
      </c>
      <c r="C114" s="753">
        <v>953</v>
      </c>
      <c r="D114" s="1024">
        <v>177</v>
      </c>
      <c r="E114" s="1024">
        <v>222</v>
      </c>
      <c r="F114" s="1024">
        <v>191</v>
      </c>
      <c r="G114" s="1024">
        <v>66</v>
      </c>
      <c r="H114" s="1024">
        <v>104</v>
      </c>
      <c r="I114" s="1028">
        <v>0</v>
      </c>
      <c r="J114" s="1024">
        <v>193</v>
      </c>
      <c r="K114" s="1028">
        <v>0</v>
      </c>
      <c r="L114" s="1024">
        <v>10920</v>
      </c>
      <c r="M114" s="1024">
        <v>128</v>
      </c>
      <c r="N114" s="1024">
        <v>2613</v>
      </c>
    </row>
    <row r="115" spans="2:14" ht="15" customHeight="1" hidden="1">
      <c r="B115" s="122" t="s">
        <v>1334</v>
      </c>
      <c r="C115" s="753"/>
      <c r="D115" s="1024"/>
      <c r="E115" s="1024"/>
      <c r="F115" s="1024"/>
      <c r="G115" s="1024"/>
      <c r="H115" s="1024"/>
      <c r="I115" s="1029"/>
      <c r="J115" s="1024"/>
      <c r="K115" s="1029"/>
      <c r="L115" s="1024"/>
      <c r="M115" s="1024"/>
      <c r="N115" s="1024"/>
    </row>
    <row r="116" spans="2:14" ht="13.5" customHeight="1" hidden="1">
      <c r="B116" s="112" t="s">
        <v>329</v>
      </c>
      <c r="C116" s="753">
        <v>1159</v>
      </c>
      <c r="D116" s="1024">
        <v>309</v>
      </c>
      <c r="E116" s="1024">
        <v>283</v>
      </c>
      <c r="F116" s="1024">
        <v>170</v>
      </c>
      <c r="G116" s="1024">
        <v>72</v>
      </c>
      <c r="H116" s="1024">
        <v>134</v>
      </c>
      <c r="I116" s="1028">
        <v>0</v>
      </c>
      <c r="J116" s="1024">
        <v>191</v>
      </c>
      <c r="K116" s="1028">
        <v>0</v>
      </c>
      <c r="L116" s="1024">
        <v>11368</v>
      </c>
      <c r="M116" s="1024">
        <v>186</v>
      </c>
      <c r="N116" s="1024">
        <v>2315</v>
      </c>
    </row>
    <row r="117" spans="2:14" ht="13.5" customHeight="1" hidden="1">
      <c r="B117" s="122" t="s">
        <v>1335</v>
      </c>
      <c r="C117" s="753"/>
      <c r="D117" s="1024"/>
      <c r="E117" s="1024"/>
      <c r="F117" s="1024"/>
      <c r="G117" s="1024"/>
      <c r="H117" s="1024"/>
      <c r="I117" s="1029"/>
      <c r="J117" s="1024"/>
      <c r="K117" s="1029"/>
      <c r="L117" s="1024"/>
      <c r="M117" s="1024"/>
      <c r="N117" s="1024"/>
    </row>
    <row r="118" spans="2:14" ht="13.5" customHeight="1" hidden="1">
      <c r="B118" s="112" t="s">
        <v>330</v>
      </c>
      <c r="C118" s="753">
        <v>1121</v>
      </c>
      <c r="D118" s="1024">
        <v>294</v>
      </c>
      <c r="E118" s="1024">
        <v>263</v>
      </c>
      <c r="F118" s="1024">
        <v>203</v>
      </c>
      <c r="G118" s="1024">
        <v>53</v>
      </c>
      <c r="H118" s="1024">
        <v>138</v>
      </c>
      <c r="I118" s="1028">
        <v>1</v>
      </c>
      <c r="J118" s="1024">
        <v>169</v>
      </c>
      <c r="K118" s="1028">
        <v>0</v>
      </c>
      <c r="L118" s="1024">
        <v>7895</v>
      </c>
      <c r="M118" s="1024">
        <v>97</v>
      </c>
      <c r="N118" s="1024">
        <v>2297</v>
      </c>
    </row>
    <row r="119" spans="2:14" ht="13.5" customHeight="1" hidden="1">
      <c r="B119" s="122" t="s">
        <v>1336</v>
      </c>
      <c r="C119" s="753"/>
      <c r="D119" s="1024"/>
      <c r="E119" s="1024"/>
      <c r="F119" s="1024"/>
      <c r="G119" s="1024"/>
      <c r="H119" s="1024"/>
      <c r="I119" s="1029"/>
      <c r="J119" s="1024"/>
      <c r="K119" s="1029"/>
      <c r="L119" s="1024"/>
      <c r="M119" s="1024"/>
      <c r="N119" s="1024"/>
    </row>
    <row r="120" spans="2:14" ht="27.75" customHeight="1">
      <c r="B120" s="112" t="s">
        <v>335</v>
      </c>
      <c r="C120" s="387">
        <f aca="true" t="shared" si="7" ref="C120:N120">SUM(C121:C128)</f>
        <v>4654</v>
      </c>
      <c r="D120" s="383">
        <f t="shared" si="7"/>
        <v>932</v>
      </c>
      <c r="E120" s="383">
        <f t="shared" si="7"/>
        <v>1199</v>
      </c>
      <c r="F120" s="383">
        <f t="shared" si="7"/>
        <v>980</v>
      </c>
      <c r="G120" s="383">
        <f t="shared" si="7"/>
        <v>229</v>
      </c>
      <c r="H120" s="383">
        <f t="shared" si="7"/>
        <v>565</v>
      </c>
      <c r="I120" s="383">
        <f t="shared" si="7"/>
        <v>0</v>
      </c>
      <c r="J120" s="383">
        <f t="shared" si="7"/>
        <v>746</v>
      </c>
      <c r="K120" s="383">
        <f t="shared" si="7"/>
        <v>3</v>
      </c>
      <c r="L120" s="383">
        <f t="shared" si="7"/>
        <v>35432</v>
      </c>
      <c r="M120" s="383">
        <f t="shared" si="7"/>
        <v>769</v>
      </c>
      <c r="N120" s="383">
        <f t="shared" si="7"/>
        <v>11331</v>
      </c>
    </row>
    <row r="121" spans="2:14" ht="13.5" customHeight="1" hidden="1">
      <c r="B121" s="112" t="s">
        <v>327</v>
      </c>
      <c r="C121" s="753">
        <v>931</v>
      </c>
      <c r="D121" s="1024">
        <v>196</v>
      </c>
      <c r="E121" s="1024">
        <v>194</v>
      </c>
      <c r="F121" s="1024">
        <v>244</v>
      </c>
      <c r="G121" s="1024">
        <v>41</v>
      </c>
      <c r="H121" s="1024">
        <v>117</v>
      </c>
      <c r="I121" s="1028">
        <v>0</v>
      </c>
      <c r="J121" s="1024">
        <v>139</v>
      </c>
      <c r="K121" s="1028">
        <v>0</v>
      </c>
      <c r="L121" s="1024">
        <v>8560</v>
      </c>
      <c r="M121" s="1024">
        <v>101</v>
      </c>
      <c r="N121" s="1024">
        <v>2374</v>
      </c>
    </row>
    <row r="122" spans="2:18" ht="13.5" customHeight="1" hidden="1">
      <c r="B122" s="122" t="s">
        <v>1333</v>
      </c>
      <c r="C122" s="753"/>
      <c r="D122" s="1024"/>
      <c r="E122" s="1024"/>
      <c r="F122" s="1024"/>
      <c r="G122" s="1024"/>
      <c r="H122" s="1024"/>
      <c r="I122" s="1029"/>
      <c r="J122" s="1024"/>
      <c r="K122" s="1029"/>
      <c r="L122" s="1024"/>
      <c r="M122" s="1024"/>
      <c r="N122" s="1024"/>
      <c r="O122" s="383"/>
      <c r="Q122" s="383"/>
      <c r="R122" s="383"/>
    </row>
    <row r="123" spans="2:14" ht="15" customHeight="1" hidden="1">
      <c r="B123" s="112" t="s">
        <v>328</v>
      </c>
      <c r="C123" s="753">
        <v>1154</v>
      </c>
      <c r="D123" s="1024">
        <v>199</v>
      </c>
      <c r="E123" s="1024">
        <v>281</v>
      </c>
      <c r="F123" s="1024">
        <v>273</v>
      </c>
      <c r="G123" s="1024">
        <v>57</v>
      </c>
      <c r="H123" s="1024">
        <v>111</v>
      </c>
      <c r="I123" s="1028">
        <v>0</v>
      </c>
      <c r="J123" s="1024">
        <v>231</v>
      </c>
      <c r="K123" s="1028">
        <v>2</v>
      </c>
      <c r="L123" s="1024">
        <v>9119</v>
      </c>
      <c r="M123" s="1024">
        <v>147</v>
      </c>
      <c r="N123" s="1024">
        <v>1701</v>
      </c>
    </row>
    <row r="124" spans="2:14" ht="15" customHeight="1" hidden="1">
      <c r="B124" s="122" t="s">
        <v>1334</v>
      </c>
      <c r="C124" s="753"/>
      <c r="D124" s="1024"/>
      <c r="E124" s="1024"/>
      <c r="F124" s="1024"/>
      <c r="G124" s="1024"/>
      <c r="H124" s="1024"/>
      <c r="I124" s="1029"/>
      <c r="J124" s="1024"/>
      <c r="K124" s="1029"/>
      <c r="L124" s="1024"/>
      <c r="M124" s="1024"/>
      <c r="N124" s="1024"/>
    </row>
    <row r="125" spans="2:14" ht="15" customHeight="1" hidden="1">
      <c r="B125" s="112" t="s">
        <v>329</v>
      </c>
      <c r="C125" s="753">
        <v>1297</v>
      </c>
      <c r="D125" s="1024">
        <v>317</v>
      </c>
      <c r="E125" s="1024">
        <v>345</v>
      </c>
      <c r="F125" s="1024">
        <v>187</v>
      </c>
      <c r="G125" s="1024">
        <v>64</v>
      </c>
      <c r="H125" s="1024">
        <v>159</v>
      </c>
      <c r="I125" s="1028">
        <v>0</v>
      </c>
      <c r="J125" s="1024">
        <v>225</v>
      </c>
      <c r="K125" s="1028">
        <v>0</v>
      </c>
      <c r="L125" s="1024">
        <v>9317</v>
      </c>
      <c r="M125" s="1024">
        <v>233</v>
      </c>
      <c r="N125" s="1024">
        <v>3502</v>
      </c>
    </row>
    <row r="126" spans="2:14" ht="15" customHeight="1" hidden="1">
      <c r="B126" s="122" t="s">
        <v>1335</v>
      </c>
      <c r="C126" s="753"/>
      <c r="D126" s="1024"/>
      <c r="E126" s="1024"/>
      <c r="F126" s="1024"/>
      <c r="G126" s="1024"/>
      <c r="H126" s="1024"/>
      <c r="I126" s="1029"/>
      <c r="J126" s="1024"/>
      <c r="K126" s="1029"/>
      <c r="L126" s="1024"/>
      <c r="M126" s="1024"/>
      <c r="N126" s="1024"/>
    </row>
    <row r="127" spans="2:14" ht="15" customHeight="1">
      <c r="B127" s="112" t="s">
        <v>330</v>
      </c>
      <c r="C127" s="753">
        <v>1272</v>
      </c>
      <c r="D127" s="1024">
        <v>220</v>
      </c>
      <c r="E127" s="1024">
        <v>379</v>
      </c>
      <c r="F127" s="1024">
        <v>276</v>
      </c>
      <c r="G127" s="1024">
        <v>67</v>
      </c>
      <c r="H127" s="1024">
        <v>178</v>
      </c>
      <c r="I127" s="1028">
        <v>0</v>
      </c>
      <c r="J127" s="1024">
        <v>151</v>
      </c>
      <c r="K127" s="1028">
        <v>1</v>
      </c>
      <c r="L127" s="1024">
        <v>8436</v>
      </c>
      <c r="M127" s="1024">
        <v>288</v>
      </c>
      <c r="N127" s="1024">
        <v>3754</v>
      </c>
    </row>
    <row r="128" spans="2:14" ht="15" customHeight="1">
      <c r="B128" s="122" t="s">
        <v>1336</v>
      </c>
      <c r="C128" s="753"/>
      <c r="D128" s="1024"/>
      <c r="E128" s="1024"/>
      <c r="F128" s="1024"/>
      <c r="G128" s="1024"/>
      <c r="H128" s="1024"/>
      <c r="I128" s="1029"/>
      <c r="J128" s="1024"/>
      <c r="K128" s="1029"/>
      <c r="L128" s="1024"/>
      <c r="M128" s="1024"/>
      <c r="N128" s="1024"/>
    </row>
    <row r="129" spans="2:14" s="582" customFormat="1" ht="27.75" customHeight="1">
      <c r="B129" s="580" t="s">
        <v>336</v>
      </c>
      <c r="C129" s="631"/>
      <c r="D129" s="631"/>
      <c r="E129" s="631"/>
      <c r="F129" s="631"/>
      <c r="G129" s="631"/>
      <c r="H129" s="631"/>
      <c r="I129" s="632"/>
      <c r="J129" s="631"/>
      <c r="K129" s="632"/>
      <c r="L129" s="631"/>
      <c r="M129" s="631"/>
      <c r="N129" s="631"/>
    </row>
    <row r="130" spans="2:14" s="582" customFormat="1" ht="15" customHeight="1">
      <c r="B130" s="580" t="s">
        <v>337</v>
      </c>
      <c r="C130" s="1009">
        <v>1131</v>
      </c>
      <c r="D130" s="1027">
        <v>210</v>
      </c>
      <c r="E130" s="1008">
        <v>264</v>
      </c>
      <c r="F130" s="1008">
        <v>281</v>
      </c>
      <c r="G130" s="1008">
        <v>55</v>
      </c>
      <c r="H130" s="1008">
        <v>90</v>
      </c>
      <c r="I130" s="1012">
        <v>0</v>
      </c>
      <c r="J130" s="1008">
        <v>230</v>
      </c>
      <c r="K130" s="1008">
        <v>1</v>
      </c>
      <c r="L130" s="1008">
        <v>9451</v>
      </c>
      <c r="M130" s="1008">
        <v>131</v>
      </c>
      <c r="N130" s="1008">
        <v>3563</v>
      </c>
    </row>
    <row r="131" spans="2:14" s="582" customFormat="1" ht="15" customHeight="1">
      <c r="B131" s="583" t="s">
        <v>1333</v>
      </c>
      <c r="C131" s="1009"/>
      <c r="D131" s="1027"/>
      <c r="E131" s="1008"/>
      <c r="F131" s="1008"/>
      <c r="G131" s="1008"/>
      <c r="H131" s="1008"/>
      <c r="I131" s="1013"/>
      <c r="J131" s="1008"/>
      <c r="K131" s="1008"/>
      <c r="L131" s="1008"/>
      <c r="M131" s="1008"/>
      <c r="N131" s="1008"/>
    </row>
    <row r="132" spans="2:14" s="582" customFormat="1" ht="15" customHeight="1">
      <c r="B132" s="112" t="s">
        <v>328</v>
      </c>
      <c r="C132" s="1070">
        <v>1154</v>
      </c>
      <c r="D132" s="1071">
        <v>169</v>
      </c>
      <c r="E132" s="1071">
        <v>288</v>
      </c>
      <c r="F132" s="1071">
        <v>233</v>
      </c>
      <c r="G132" s="1071">
        <v>100</v>
      </c>
      <c r="H132" s="1071">
        <v>96</v>
      </c>
      <c r="I132" s="1072">
        <v>0</v>
      </c>
      <c r="J132" s="1071">
        <v>267</v>
      </c>
      <c r="K132" s="1071">
        <v>1</v>
      </c>
      <c r="L132" s="1071">
        <v>9693</v>
      </c>
      <c r="M132" s="1071">
        <v>197</v>
      </c>
      <c r="N132" s="1071">
        <v>4496</v>
      </c>
    </row>
    <row r="133" spans="2:14" s="582" customFormat="1" ht="15" customHeight="1">
      <c r="B133" s="122" t="s">
        <v>1334</v>
      </c>
      <c r="C133" s="1070"/>
      <c r="D133" s="1071"/>
      <c r="E133" s="1071"/>
      <c r="F133" s="1071"/>
      <c r="G133" s="1071"/>
      <c r="H133" s="1071"/>
      <c r="I133" s="1071"/>
      <c r="J133" s="1071"/>
      <c r="K133" s="1071"/>
      <c r="L133" s="1071"/>
      <c r="M133" s="1071"/>
      <c r="N133" s="1071"/>
    </row>
    <row r="134" spans="2:14" s="582" customFormat="1" ht="15" customHeight="1">
      <c r="B134" s="112" t="s">
        <v>329</v>
      </c>
      <c r="C134" s="1009">
        <v>1297</v>
      </c>
      <c r="D134" s="1008">
        <v>337</v>
      </c>
      <c r="E134" s="1008">
        <v>394</v>
      </c>
      <c r="F134" s="1008">
        <v>157</v>
      </c>
      <c r="G134" s="1008">
        <v>85</v>
      </c>
      <c r="H134" s="1008">
        <v>83</v>
      </c>
      <c r="I134" s="1012">
        <v>0</v>
      </c>
      <c r="J134" s="1008">
        <v>238</v>
      </c>
      <c r="K134" s="1008">
        <v>3</v>
      </c>
      <c r="L134" s="1008">
        <v>10049</v>
      </c>
      <c r="M134" s="1008">
        <v>193</v>
      </c>
      <c r="N134" s="1008">
        <v>4664</v>
      </c>
    </row>
    <row r="135" spans="2:14" s="582" customFormat="1" ht="15" customHeight="1">
      <c r="B135" s="122" t="s">
        <v>1335</v>
      </c>
      <c r="C135" s="1009"/>
      <c r="D135" s="1008"/>
      <c r="E135" s="1008"/>
      <c r="F135" s="1008"/>
      <c r="G135" s="1008"/>
      <c r="H135" s="1008"/>
      <c r="I135" s="1013"/>
      <c r="J135" s="1008"/>
      <c r="K135" s="1008"/>
      <c r="L135" s="1008"/>
      <c r="M135" s="1008"/>
      <c r="N135" s="1008"/>
    </row>
    <row r="136" spans="2:14" s="582" customFormat="1" ht="15" customHeight="1">
      <c r="B136" s="112" t="s">
        <v>330</v>
      </c>
      <c r="C136" s="1073">
        <v>1132</v>
      </c>
      <c r="D136" s="1026">
        <v>201</v>
      </c>
      <c r="E136" s="1026">
        <v>312</v>
      </c>
      <c r="F136" s="1026">
        <v>242</v>
      </c>
      <c r="G136" s="1026">
        <v>49</v>
      </c>
      <c r="H136" s="1026">
        <v>82</v>
      </c>
      <c r="I136" s="1026">
        <v>0</v>
      </c>
      <c r="J136" s="1026">
        <v>246</v>
      </c>
      <c r="K136" s="1026">
        <v>0</v>
      </c>
      <c r="L136" s="1026">
        <v>9217</v>
      </c>
      <c r="M136" s="1026">
        <v>252</v>
      </c>
      <c r="N136" s="1026">
        <v>2297</v>
      </c>
    </row>
    <row r="137" spans="2:14" s="582" customFormat="1" ht="15" customHeight="1" thickBot="1">
      <c r="B137" s="122" t="s">
        <v>1336</v>
      </c>
      <c r="C137" s="1074"/>
      <c r="D137" s="1075"/>
      <c r="E137" s="1075"/>
      <c r="F137" s="1075"/>
      <c r="G137" s="1075"/>
      <c r="H137" s="1075"/>
      <c r="I137" s="1075"/>
      <c r="J137" s="1075"/>
      <c r="K137" s="1075"/>
      <c r="L137" s="1075"/>
      <c r="M137" s="1075"/>
      <c r="N137" s="1075"/>
    </row>
    <row r="138" spans="2:14" s="582" customFormat="1" ht="24.75" customHeight="1">
      <c r="B138" s="584" t="s">
        <v>338</v>
      </c>
      <c r="C138" s="1051">
        <f aca="true" t="shared" si="8" ref="C138:H138">(C136-C134)/C134*100</f>
        <v>-12.72166538164996</v>
      </c>
      <c r="D138" s="1032">
        <f t="shared" si="8"/>
        <v>-40.35608308605341</v>
      </c>
      <c r="E138" s="1032">
        <f t="shared" si="8"/>
        <v>-20.812182741116754</v>
      </c>
      <c r="F138" s="1032">
        <f t="shared" si="8"/>
        <v>54.14012738853503</v>
      </c>
      <c r="G138" s="1032">
        <f t="shared" si="8"/>
        <v>-42.35294117647059</v>
      </c>
      <c r="H138" s="1032">
        <f t="shared" si="8"/>
        <v>-1.2048192771084338</v>
      </c>
      <c r="I138" s="1034">
        <v>0</v>
      </c>
      <c r="J138" s="881">
        <f>(J136-J134)/J134*100</f>
        <v>3.361344537815126</v>
      </c>
      <c r="K138" s="881">
        <f>(K136-K134)/K134*100</f>
        <v>-100</v>
      </c>
      <c r="L138" s="1049">
        <f>(L136-L134)/L134*100</f>
        <v>-8.279430789133247</v>
      </c>
      <c r="M138" s="1049">
        <f>(M136-M134)/M134*100</f>
        <v>30.569948186528496</v>
      </c>
      <c r="N138" s="1049">
        <f>(N136-N134)/N134*100</f>
        <v>-50.75042881646655</v>
      </c>
    </row>
    <row r="139" spans="2:14" s="582" customFormat="1" ht="24.75" customHeight="1" thickBot="1">
      <c r="B139" s="585" t="s">
        <v>339</v>
      </c>
      <c r="C139" s="1052"/>
      <c r="D139" s="1033"/>
      <c r="E139" s="1033"/>
      <c r="F139" s="1033"/>
      <c r="G139" s="1033"/>
      <c r="H139" s="1033"/>
      <c r="I139" s="1035"/>
      <c r="J139" s="752"/>
      <c r="K139" s="752"/>
      <c r="L139" s="1050"/>
      <c r="M139" s="1050"/>
      <c r="N139" s="1050"/>
    </row>
    <row r="140" spans="2:14" s="582" customFormat="1" ht="24.75" customHeight="1">
      <c r="B140" s="584" t="s">
        <v>340</v>
      </c>
      <c r="C140" s="1032">
        <f aca="true" t="shared" si="9" ref="C140:H140">(C136-C127)/C127*100</f>
        <v>-11.0062893081761</v>
      </c>
      <c r="D140" s="1032">
        <f t="shared" si="9"/>
        <v>-8.636363636363637</v>
      </c>
      <c r="E140" s="1032">
        <f t="shared" si="9"/>
        <v>-17.678100263852244</v>
      </c>
      <c r="F140" s="1032">
        <f t="shared" si="9"/>
        <v>-12.318840579710146</v>
      </c>
      <c r="G140" s="1032">
        <f t="shared" si="9"/>
        <v>-26.865671641791046</v>
      </c>
      <c r="H140" s="1032">
        <f t="shared" si="9"/>
        <v>-53.93258426966292</v>
      </c>
      <c r="I140" s="1034">
        <v>0</v>
      </c>
      <c r="J140" s="844">
        <f>(J136-J127)/J127*100</f>
        <v>62.913907284768214</v>
      </c>
      <c r="K140" s="844">
        <f>(K136-K127)/K127*100</f>
        <v>-100</v>
      </c>
      <c r="L140" s="844">
        <f>(L136-L127)/L127*100</f>
        <v>9.257942152678995</v>
      </c>
      <c r="M140" s="844">
        <f>(M136-M127)/M127*100</f>
        <v>-12.5</v>
      </c>
      <c r="N140" s="844">
        <f>(N136-N127)/N127*100</f>
        <v>-38.81193393713372</v>
      </c>
    </row>
    <row r="141" spans="2:14" s="582" customFormat="1" ht="24.75" customHeight="1" thickBot="1">
      <c r="B141" s="585" t="s">
        <v>341</v>
      </c>
      <c r="C141" s="1033"/>
      <c r="D141" s="1033"/>
      <c r="E141" s="1033"/>
      <c r="F141" s="1033"/>
      <c r="G141" s="1033"/>
      <c r="H141" s="1033"/>
      <c r="I141" s="1035"/>
      <c r="J141" s="752"/>
      <c r="K141" s="752"/>
      <c r="L141" s="752"/>
      <c r="M141" s="752"/>
      <c r="N141" s="752"/>
    </row>
    <row r="142" ht="18" customHeight="1">
      <c r="B142" s="113" t="s">
        <v>342</v>
      </c>
    </row>
    <row r="143" spans="2:3" ht="9" customHeight="1">
      <c r="B143" s="120"/>
      <c r="C143" s="99"/>
    </row>
    <row r="144" ht="15" customHeight="1">
      <c r="B144" s="390"/>
    </row>
    <row r="145" spans="1:15" ht="20.25" customHeight="1">
      <c r="A145" s="899" t="s">
        <v>343</v>
      </c>
      <c r="B145" s="899"/>
      <c r="C145" s="899"/>
      <c r="D145" s="899"/>
      <c r="E145" s="899"/>
      <c r="F145" s="899"/>
      <c r="G145" s="899"/>
      <c r="H145" s="899"/>
      <c r="I145" s="899"/>
      <c r="J145" s="899"/>
      <c r="K145" s="899"/>
      <c r="L145" s="899"/>
      <c r="M145" s="899"/>
      <c r="N145" s="899"/>
      <c r="O145" s="37"/>
    </row>
    <row r="146" spans="17:24" s="210" customFormat="1" ht="24.75" customHeight="1">
      <c r="Q146" s="104" t="s">
        <v>344</v>
      </c>
      <c r="R146" s="145"/>
      <c r="S146" s="145"/>
      <c r="T146" s="145"/>
      <c r="U146" s="145"/>
      <c r="V146" s="145"/>
      <c r="W146" s="145"/>
      <c r="X146" s="391" t="s">
        <v>914</v>
      </c>
    </row>
    <row r="147" spans="20:24" s="210" customFormat="1" ht="24.75" customHeight="1" thickBot="1">
      <c r="T147" s="350" t="s">
        <v>345</v>
      </c>
      <c r="X147" s="211" t="s">
        <v>346</v>
      </c>
    </row>
    <row r="148" spans="17:24" ht="24.75" customHeight="1">
      <c r="Q148" s="860" t="s">
        <v>278</v>
      </c>
      <c r="R148" s="1055" t="s">
        <v>347</v>
      </c>
      <c r="S148" s="857"/>
      <c r="T148" s="857"/>
      <c r="U148" s="857"/>
      <c r="V148" s="857"/>
      <c r="W148" s="857"/>
      <c r="X148" s="857"/>
    </row>
    <row r="149" spans="17:24" ht="13.5" customHeight="1">
      <c r="Q149" s="861"/>
      <c r="R149" s="1056" t="s">
        <v>915</v>
      </c>
      <c r="S149" s="921"/>
      <c r="T149" s="921"/>
      <c r="U149" s="921"/>
      <c r="V149" s="921"/>
      <c r="W149" s="921"/>
      <c r="X149" s="921"/>
    </row>
    <row r="150" spans="17:24" ht="19.5" customHeight="1">
      <c r="Q150" s="874" t="s">
        <v>297</v>
      </c>
      <c r="R150" s="1066" t="s">
        <v>348</v>
      </c>
      <c r="S150" s="764" t="s">
        <v>269</v>
      </c>
      <c r="T150" s="764" t="s">
        <v>270</v>
      </c>
      <c r="U150" s="1068" t="s">
        <v>349</v>
      </c>
      <c r="V150" s="764" t="s">
        <v>272</v>
      </c>
      <c r="W150" s="770" t="s">
        <v>273</v>
      </c>
      <c r="X150" s="1044" t="s">
        <v>267</v>
      </c>
    </row>
    <row r="151" spans="17:24" ht="15.75" customHeight="1">
      <c r="Q151" s="874"/>
      <c r="R151" s="1067"/>
      <c r="S151" s="779"/>
      <c r="T151" s="779"/>
      <c r="U151" s="779"/>
      <c r="V151" s="779"/>
      <c r="W151" s="873"/>
      <c r="X151" s="1045"/>
    </row>
    <row r="152" spans="17:24" ht="20.25" customHeight="1">
      <c r="Q152" s="874"/>
      <c r="R152" s="1039" t="s">
        <v>350</v>
      </c>
      <c r="S152" s="1041" t="s">
        <v>351</v>
      </c>
      <c r="T152" s="1046" t="s">
        <v>352</v>
      </c>
      <c r="U152" s="1047" t="s">
        <v>353</v>
      </c>
      <c r="V152" s="1046" t="s">
        <v>354</v>
      </c>
      <c r="W152" s="772" t="s">
        <v>355</v>
      </c>
      <c r="X152" s="846" t="s">
        <v>304</v>
      </c>
    </row>
    <row r="153" spans="17:24" ht="9.75" customHeight="1" thickBot="1">
      <c r="Q153" s="875"/>
      <c r="R153" s="1040"/>
      <c r="S153" s="1042"/>
      <c r="T153" s="847"/>
      <c r="U153" s="1048"/>
      <c r="V153" s="847"/>
      <c r="W153" s="855"/>
      <c r="X153" s="847"/>
    </row>
    <row r="154" spans="17:24" ht="24.75" customHeight="1" hidden="1">
      <c r="Q154" s="115" t="s">
        <v>311</v>
      </c>
      <c r="R154" s="154"/>
      <c r="S154" s="154"/>
      <c r="T154" s="154"/>
      <c r="U154" s="154"/>
      <c r="V154" s="154"/>
      <c r="W154" s="139"/>
      <c r="X154" s="147"/>
    </row>
    <row r="155" spans="17:24" ht="24.75" customHeight="1" hidden="1">
      <c r="Q155" s="115" t="s">
        <v>356</v>
      </c>
      <c r="R155" s="154"/>
      <c r="S155" s="154"/>
      <c r="T155" s="154"/>
      <c r="U155" s="154"/>
      <c r="V155" s="154"/>
      <c r="W155" s="139"/>
      <c r="X155" s="147"/>
    </row>
    <row r="156" spans="17:24" ht="24.75" customHeight="1" hidden="1" thickBot="1">
      <c r="Q156" s="115" t="s">
        <v>357</v>
      </c>
      <c r="R156" s="154"/>
      <c r="S156" s="154"/>
      <c r="T156" s="154"/>
      <c r="U156" s="154"/>
      <c r="V156" s="154"/>
      <c r="W156" s="139"/>
      <c r="X156" s="147"/>
    </row>
    <row r="157" spans="17:24" ht="24.75" customHeight="1" hidden="1">
      <c r="Q157" s="392"/>
      <c r="R157" s="154"/>
      <c r="S157" s="154"/>
      <c r="T157" s="154"/>
      <c r="U157" s="154"/>
      <c r="V157" s="154"/>
      <c r="W157" s="139"/>
      <c r="X157" s="147"/>
    </row>
    <row r="158" spans="17:24" ht="27" customHeight="1" hidden="1">
      <c r="Q158" s="112" t="s">
        <v>315</v>
      </c>
      <c r="R158" s="168">
        <v>4301837</v>
      </c>
      <c r="S158" s="5">
        <v>2282156</v>
      </c>
      <c r="T158" s="154">
        <v>421984</v>
      </c>
      <c r="U158" s="154">
        <v>824253</v>
      </c>
      <c r="V158" s="154">
        <v>392546</v>
      </c>
      <c r="W158" s="139">
        <v>41125</v>
      </c>
      <c r="X158" s="5">
        <v>339773</v>
      </c>
    </row>
    <row r="159" spans="17:24" ht="27" customHeight="1" hidden="1">
      <c r="Q159" s="112" t="s">
        <v>316</v>
      </c>
      <c r="R159" s="168">
        <v>5450770</v>
      </c>
      <c r="S159" s="5">
        <v>2735991</v>
      </c>
      <c r="T159" s="154">
        <v>476684</v>
      </c>
      <c r="U159" s="154">
        <v>887456</v>
      </c>
      <c r="V159" s="154">
        <v>509729</v>
      </c>
      <c r="W159" s="139">
        <v>39775</v>
      </c>
      <c r="X159" s="5">
        <v>801135</v>
      </c>
    </row>
    <row r="160" spans="17:24" ht="27.75" customHeight="1" hidden="1">
      <c r="Q160" s="112" t="s">
        <v>317</v>
      </c>
      <c r="R160" s="387">
        <v>8125886</v>
      </c>
      <c r="S160" s="383">
        <v>3121013</v>
      </c>
      <c r="T160" s="217">
        <v>567151</v>
      </c>
      <c r="U160" s="217">
        <v>2330393</v>
      </c>
      <c r="V160" s="217">
        <v>357418</v>
      </c>
      <c r="W160" s="217">
        <v>395516</v>
      </c>
      <c r="X160" s="383">
        <v>1354395</v>
      </c>
    </row>
    <row r="161" spans="17:24" ht="27.75" customHeight="1">
      <c r="Q161" s="112" t="s">
        <v>318</v>
      </c>
      <c r="R161" s="387">
        <v>11837616</v>
      </c>
      <c r="S161" s="383">
        <v>6130934</v>
      </c>
      <c r="T161" s="217">
        <v>2622545</v>
      </c>
      <c r="U161" s="217">
        <v>1482368</v>
      </c>
      <c r="V161" s="217">
        <v>570278</v>
      </c>
      <c r="W161" s="217">
        <v>73549</v>
      </c>
      <c r="X161" s="383">
        <v>957942</v>
      </c>
    </row>
    <row r="162" spans="17:24" ht="27.75" customHeight="1">
      <c r="Q162" s="112" t="s">
        <v>319</v>
      </c>
      <c r="R162" s="387">
        <v>15618392</v>
      </c>
      <c r="S162" s="383">
        <v>7266994</v>
      </c>
      <c r="T162" s="217">
        <v>1767463</v>
      </c>
      <c r="U162" s="217">
        <v>3207690</v>
      </c>
      <c r="V162" s="217">
        <v>938550</v>
      </c>
      <c r="W162" s="217">
        <v>415047</v>
      </c>
      <c r="X162" s="383">
        <v>2022648</v>
      </c>
    </row>
    <row r="163" spans="17:24" ht="27.75" customHeight="1">
      <c r="Q163" s="112" t="s">
        <v>320</v>
      </c>
      <c r="R163" s="387">
        <f aca="true" t="shared" si="10" ref="R163:X163">SUM(R164:R167)</f>
        <v>19016248</v>
      </c>
      <c r="S163" s="383">
        <f t="shared" si="10"/>
        <v>8013286</v>
      </c>
      <c r="T163" s="217">
        <f t="shared" si="10"/>
        <v>1866964</v>
      </c>
      <c r="U163" s="217">
        <f t="shared" si="10"/>
        <v>3916389</v>
      </c>
      <c r="V163" s="217">
        <f t="shared" si="10"/>
        <v>1438943</v>
      </c>
      <c r="W163" s="383">
        <f t="shared" si="10"/>
        <v>617824</v>
      </c>
      <c r="X163" s="383">
        <f t="shared" si="10"/>
        <v>3162842</v>
      </c>
    </row>
    <row r="164" spans="17:24" ht="33" customHeight="1" hidden="1">
      <c r="Q164" s="122"/>
      <c r="R164" s="387">
        <f>SUM(S164:X164)</f>
        <v>4219445</v>
      </c>
      <c r="S164" s="383">
        <v>1795154</v>
      </c>
      <c r="T164" s="217">
        <v>764736</v>
      </c>
      <c r="U164" s="217">
        <v>649709</v>
      </c>
      <c r="V164" s="217">
        <v>205688</v>
      </c>
      <c r="W164" s="383">
        <v>103360</v>
      </c>
      <c r="X164" s="383">
        <v>700798</v>
      </c>
    </row>
    <row r="165" spans="18:24" ht="33" customHeight="1" hidden="1">
      <c r="R165" s="387">
        <f>SUM(S165:X165)</f>
        <v>4371109</v>
      </c>
      <c r="S165" s="383">
        <v>1793997</v>
      </c>
      <c r="T165" s="217">
        <v>289189</v>
      </c>
      <c r="U165" s="217">
        <v>1145984</v>
      </c>
      <c r="V165" s="217">
        <v>265670</v>
      </c>
      <c r="W165" s="383">
        <v>92237</v>
      </c>
      <c r="X165" s="383">
        <v>784032</v>
      </c>
    </row>
    <row r="166" spans="17:24" ht="33" customHeight="1" hidden="1">
      <c r="Q166" s="115" t="s">
        <v>323</v>
      </c>
      <c r="R166" s="387">
        <f>SUM(S166:X166)</f>
        <v>4821467</v>
      </c>
      <c r="S166" s="383">
        <v>2162205</v>
      </c>
      <c r="T166" s="217">
        <v>369525</v>
      </c>
      <c r="U166" s="217">
        <v>916833</v>
      </c>
      <c r="V166" s="217">
        <v>515521</v>
      </c>
      <c r="W166" s="383">
        <v>126826</v>
      </c>
      <c r="X166" s="383">
        <v>730557</v>
      </c>
    </row>
    <row r="167" spans="17:24" ht="33" customHeight="1" hidden="1">
      <c r="Q167" s="115" t="s">
        <v>324</v>
      </c>
      <c r="R167" s="387">
        <f>SUM(S167:X167)</f>
        <v>5604227</v>
      </c>
      <c r="S167" s="383">
        <v>2261930</v>
      </c>
      <c r="T167" s="217">
        <v>443514</v>
      </c>
      <c r="U167" s="217">
        <v>1203863</v>
      </c>
      <c r="V167" s="217">
        <v>452064</v>
      </c>
      <c r="W167" s="383">
        <v>295401</v>
      </c>
      <c r="X167" s="383">
        <v>947455</v>
      </c>
    </row>
    <row r="168" spans="17:24" ht="27.75" customHeight="1" hidden="1">
      <c r="Q168" s="184"/>
      <c r="R168" s="383"/>
      <c r="S168" s="383"/>
      <c r="T168" s="393"/>
      <c r="U168" s="217"/>
      <c r="V168" s="217"/>
      <c r="W168" s="383"/>
      <c r="X168" s="393"/>
    </row>
    <row r="169" spans="15:24" ht="27.75" customHeight="1">
      <c r="O169" s="146"/>
      <c r="Q169" s="112" t="s">
        <v>325</v>
      </c>
      <c r="R169" s="387">
        <f aca="true" t="shared" si="11" ref="R169:X169">SUM(R170:R176)</f>
        <v>21435428.5</v>
      </c>
      <c r="S169" s="383">
        <f t="shared" si="11"/>
        <v>10104474.6</v>
      </c>
      <c r="T169" s="383">
        <f t="shared" si="11"/>
        <v>1965630.1</v>
      </c>
      <c r="U169" s="383">
        <f t="shared" si="11"/>
        <v>2721911.3</v>
      </c>
      <c r="V169" s="383">
        <f t="shared" si="11"/>
        <v>1708341.9</v>
      </c>
      <c r="W169" s="383">
        <f t="shared" si="11"/>
        <v>2201986</v>
      </c>
      <c r="X169" s="383">
        <f t="shared" si="11"/>
        <v>2733084.5999999996</v>
      </c>
    </row>
    <row r="170" spans="17:24" ht="12.75" customHeight="1" hidden="1">
      <c r="Q170" s="112" t="s">
        <v>321</v>
      </c>
      <c r="R170" s="753">
        <f>SUM(S170:X170)</f>
        <v>5471534</v>
      </c>
      <c r="S170" s="1024">
        <v>2423544.3</v>
      </c>
      <c r="T170" s="1024">
        <v>477829.8</v>
      </c>
      <c r="U170" s="1024">
        <v>1262416.7</v>
      </c>
      <c r="V170" s="1024">
        <v>370834.1</v>
      </c>
      <c r="W170" s="1024">
        <v>346342.9</v>
      </c>
      <c r="X170" s="790">
        <v>590566.2</v>
      </c>
    </row>
    <row r="171" spans="3:24" ht="12.75" customHeight="1" hidden="1">
      <c r="C171" s="3">
        <v>32378</v>
      </c>
      <c r="D171" s="3">
        <v>52330</v>
      </c>
      <c r="E171" s="3">
        <v>38797</v>
      </c>
      <c r="F171" s="3">
        <v>21710</v>
      </c>
      <c r="G171" s="3">
        <v>6004</v>
      </c>
      <c r="H171" s="3">
        <v>6067</v>
      </c>
      <c r="Q171" s="122" t="s">
        <v>1333</v>
      </c>
      <c r="R171" s="1036"/>
      <c r="S171" s="1030"/>
      <c r="T171" s="1030"/>
      <c r="U171" s="1030"/>
      <c r="V171" s="1030"/>
      <c r="W171" s="1037"/>
      <c r="X171" s="790"/>
    </row>
    <row r="172" spans="17:24" ht="15" customHeight="1" hidden="1">
      <c r="Q172" s="112" t="s">
        <v>322</v>
      </c>
      <c r="R172" s="753">
        <f>SUM(S172:X172)</f>
        <v>4779499.399999999</v>
      </c>
      <c r="S172" s="1024">
        <v>2166165.1</v>
      </c>
      <c r="T172" s="790">
        <v>466248.8</v>
      </c>
      <c r="U172" s="790">
        <v>587362.5</v>
      </c>
      <c r="V172" s="790">
        <v>385766.9</v>
      </c>
      <c r="W172" s="1024">
        <v>559531.5</v>
      </c>
      <c r="X172" s="1024">
        <v>614424.6</v>
      </c>
    </row>
    <row r="173" spans="17:24" ht="15" customHeight="1" hidden="1">
      <c r="Q173" s="122" t="s">
        <v>1334</v>
      </c>
      <c r="R173" s="1036"/>
      <c r="S173" s="1037"/>
      <c r="T173" s="1037"/>
      <c r="U173" s="1037"/>
      <c r="V173" s="1037"/>
      <c r="W173" s="1024"/>
      <c r="X173" s="1024"/>
    </row>
    <row r="174" spans="17:24" ht="15" customHeight="1" hidden="1">
      <c r="Q174" s="112" t="s">
        <v>323</v>
      </c>
      <c r="R174" s="753">
        <f>SUM(S174:X174)</f>
        <v>5451785.6</v>
      </c>
      <c r="S174" s="1024">
        <v>2775640.3</v>
      </c>
      <c r="T174" s="790">
        <v>486114.5</v>
      </c>
      <c r="U174" s="790">
        <v>440080.7</v>
      </c>
      <c r="V174" s="790">
        <v>439639.2</v>
      </c>
      <c r="W174" s="1024">
        <v>624467.3</v>
      </c>
      <c r="X174" s="1024">
        <v>685843.6</v>
      </c>
    </row>
    <row r="175" spans="17:24" ht="15" customHeight="1" hidden="1">
      <c r="Q175" s="122" t="s">
        <v>1335</v>
      </c>
      <c r="R175" s="1036"/>
      <c r="S175" s="1037"/>
      <c r="T175" s="1037"/>
      <c r="U175" s="1037"/>
      <c r="V175" s="1037"/>
      <c r="W175" s="1024"/>
      <c r="X175" s="1024"/>
    </row>
    <row r="176" spans="17:24" ht="15" customHeight="1" hidden="1">
      <c r="Q176" s="112" t="s">
        <v>324</v>
      </c>
      <c r="R176" s="753">
        <f>SUM(S176:X176)</f>
        <v>5732609.5</v>
      </c>
      <c r="S176" s="1024">
        <v>2739124.9</v>
      </c>
      <c r="T176" s="1024">
        <v>535437</v>
      </c>
      <c r="U176" s="1024">
        <v>432051.4</v>
      </c>
      <c r="V176" s="1024">
        <v>512101.7</v>
      </c>
      <c r="W176" s="1024">
        <v>671644.3</v>
      </c>
      <c r="X176" s="1024">
        <v>842250.2</v>
      </c>
    </row>
    <row r="177" spans="17:24" ht="15" customHeight="1" hidden="1">
      <c r="Q177" s="122" t="s">
        <v>1336</v>
      </c>
      <c r="R177" s="1036"/>
      <c r="S177" s="1037"/>
      <c r="T177" s="1037"/>
      <c r="U177" s="1037"/>
      <c r="V177" s="783"/>
      <c r="W177" s="1024"/>
      <c r="X177" s="1024"/>
    </row>
    <row r="178" spans="17:24" ht="27.75" customHeight="1">
      <c r="Q178" s="112" t="s">
        <v>326</v>
      </c>
      <c r="R178" s="387">
        <f aca="true" t="shared" si="12" ref="R178:X178">SUM(R179:R186)</f>
        <v>28564862.15</v>
      </c>
      <c r="S178" s="383">
        <f t="shared" si="12"/>
        <v>14383028.9</v>
      </c>
      <c r="T178" s="383">
        <f t="shared" si="12"/>
        <v>2292741.5</v>
      </c>
      <c r="U178" s="383">
        <f t="shared" si="12"/>
        <v>2515404.6</v>
      </c>
      <c r="V178" s="383">
        <f t="shared" si="12"/>
        <v>2385147.9</v>
      </c>
      <c r="W178" s="383">
        <f t="shared" si="12"/>
        <v>3345505.4</v>
      </c>
      <c r="X178" s="383">
        <f t="shared" si="12"/>
        <v>3643033.85</v>
      </c>
    </row>
    <row r="179" spans="17:24" ht="15" customHeight="1" hidden="1">
      <c r="Q179" s="112" t="s">
        <v>327</v>
      </c>
      <c r="R179" s="753">
        <f>SUM(S179:X179)</f>
        <v>6552868</v>
      </c>
      <c r="S179" s="1024">
        <v>3228163</v>
      </c>
      <c r="T179" s="1024">
        <v>530777</v>
      </c>
      <c r="U179" s="1024">
        <v>590735</v>
      </c>
      <c r="V179" s="1024">
        <v>496033</v>
      </c>
      <c r="W179" s="1024">
        <v>782677</v>
      </c>
      <c r="X179" s="1024">
        <v>924483</v>
      </c>
    </row>
    <row r="180" spans="17:24" ht="15" customHeight="1" hidden="1">
      <c r="Q180" s="122" t="s">
        <v>1333</v>
      </c>
      <c r="R180" s="1038"/>
      <c r="S180" s="1030"/>
      <c r="T180" s="1030"/>
      <c r="U180" s="1030"/>
      <c r="V180" s="790"/>
      <c r="W180" s="790"/>
      <c r="X180" s="790"/>
    </row>
    <row r="181" spans="17:24" ht="15" customHeight="1" hidden="1">
      <c r="Q181" s="112" t="s">
        <v>328</v>
      </c>
      <c r="R181" s="753">
        <v>6631175.15</v>
      </c>
      <c r="S181" s="1024">
        <v>3438817.9</v>
      </c>
      <c r="T181" s="1024">
        <v>547060.5</v>
      </c>
      <c r="U181" s="1024">
        <v>686178.6</v>
      </c>
      <c r="V181" s="1024">
        <v>559444.9</v>
      </c>
      <c r="W181" s="1024">
        <v>680378.4</v>
      </c>
      <c r="X181" s="1024">
        <v>719294.85</v>
      </c>
    </row>
    <row r="182" spans="17:24" ht="15" customHeight="1" hidden="1">
      <c r="Q182" s="122" t="s">
        <v>1334</v>
      </c>
      <c r="R182" s="1038"/>
      <c r="S182" s="1030"/>
      <c r="T182" s="1030"/>
      <c r="U182" s="1030"/>
      <c r="V182" s="790"/>
      <c r="W182" s="790"/>
      <c r="X182" s="790"/>
    </row>
    <row r="183" spans="17:24" ht="15" customHeight="1" hidden="1">
      <c r="Q183" s="112" t="s">
        <v>329</v>
      </c>
      <c r="R183" s="753">
        <v>7116413</v>
      </c>
      <c r="S183" s="1024">
        <v>3683660</v>
      </c>
      <c r="T183" s="1024">
        <v>555568</v>
      </c>
      <c r="U183" s="1024">
        <v>584608</v>
      </c>
      <c r="V183" s="1024">
        <v>619609</v>
      </c>
      <c r="W183" s="1024">
        <v>840562</v>
      </c>
      <c r="X183" s="1024">
        <v>832406</v>
      </c>
    </row>
    <row r="184" spans="17:24" ht="15" customHeight="1" hidden="1">
      <c r="Q184" s="122" t="s">
        <v>1335</v>
      </c>
      <c r="R184" s="1038"/>
      <c r="S184" s="1030"/>
      <c r="T184" s="1030"/>
      <c r="U184" s="1030"/>
      <c r="V184" s="790"/>
      <c r="W184" s="790"/>
      <c r="X184" s="790"/>
    </row>
    <row r="185" spans="17:24" ht="15" customHeight="1" hidden="1">
      <c r="Q185" s="112" t="s">
        <v>330</v>
      </c>
      <c r="R185" s="753">
        <f>SUM(S185:X186)</f>
        <v>8264406</v>
      </c>
      <c r="S185" s="1024">
        <v>4032388</v>
      </c>
      <c r="T185" s="1024">
        <v>659336</v>
      </c>
      <c r="U185" s="1024">
        <v>653883</v>
      </c>
      <c r="V185" s="1024">
        <v>710061</v>
      </c>
      <c r="W185" s="1024">
        <v>1041888</v>
      </c>
      <c r="X185" s="1024">
        <v>1166850</v>
      </c>
    </row>
    <row r="186" spans="17:24" ht="15" customHeight="1" hidden="1">
      <c r="Q186" s="122" t="s">
        <v>1336</v>
      </c>
      <c r="R186" s="1038"/>
      <c r="S186" s="1030"/>
      <c r="T186" s="1030"/>
      <c r="U186" s="1030"/>
      <c r="V186" s="790"/>
      <c r="W186" s="790"/>
      <c r="X186" s="790"/>
    </row>
    <row r="187" spans="17:24" ht="27.75" customHeight="1">
      <c r="Q187" s="112" t="s">
        <v>331</v>
      </c>
      <c r="R187" s="387">
        <f aca="true" t="shared" si="13" ref="R187:W187">SUM(R188:R195)</f>
        <v>41438743</v>
      </c>
      <c r="S187" s="383">
        <f t="shared" si="13"/>
        <v>19072065</v>
      </c>
      <c r="T187" s="383">
        <f t="shared" si="13"/>
        <v>3382101</v>
      </c>
      <c r="U187" s="383">
        <f t="shared" si="13"/>
        <v>3740213</v>
      </c>
      <c r="V187" s="383">
        <f t="shared" si="13"/>
        <v>4609043</v>
      </c>
      <c r="W187" s="383">
        <f t="shared" si="13"/>
        <v>4605311</v>
      </c>
      <c r="X187" s="383">
        <f>SUM(N188:O195)</f>
        <v>0</v>
      </c>
    </row>
    <row r="188" spans="17:24" ht="27" customHeight="1" hidden="1">
      <c r="Q188" s="112" t="s">
        <v>327</v>
      </c>
      <c r="R188" s="753">
        <f>SUM(S188:X189)</f>
        <v>9718045</v>
      </c>
      <c r="S188" s="1024">
        <v>4538271</v>
      </c>
      <c r="T188" s="1024">
        <v>820125</v>
      </c>
      <c r="U188" s="1024">
        <v>714075</v>
      </c>
      <c r="V188" s="1024">
        <v>1036412</v>
      </c>
      <c r="W188" s="1024">
        <v>1156544</v>
      </c>
      <c r="X188" s="1024">
        <v>1452618</v>
      </c>
    </row>
    <row r="189" spans="17:24" ht="27" customHeight="1" hidden="1">
      <c r="Q189" s="122" t="s">
        <v>1333</v>
      </c>
      <c r="R189" s="1038"/>
      <c r="S189" s="1030"/>
      <c r="T189" s="1030"/>
      <c r="U189" s="1030"/>
      <c r="V189" s="790"/>
      <c r="W189" s="790"/>
      <c r="X189" s="790"/>
    </row>
    <row r="190" spans="17:24" ht="27" customHeight="1" hidden="1">
      <c r="Q190" s="112" t="s">
        <v>328</v>
      </c>
      <c r="R190" s="753">
        <f>SUM(S190:X191)</f>
        <v>10034684</v>
      </c>
      <c r="S190" s="1024">
        <v>4628768</v>
      </c>
      <c r="T190" s="1024">
        <v>786928</v>
      </c>
      <c r="U190" s="1024">
        <v>846923</v>
      </c>
      <c r="V190" s="1024">
        <v>1056827</v>
      </c>
      <c r="W190" s="1024">
        <v>1062737</v>
      </c>
      <c r="X190" s="1024">
        <v>1652501</v>
      </c>
    </row>
    <row r="191" spans="17:24" ht="27" customHeight="1" hidden="1">
      <c r="Q191" s="122" t="s">
        <v>1334</v>
      </c>
      <c r="R191" s="1038"/>
      <c r="S191" s="1030"/>
      <c r="T191" s="1030"/>
      <c r="U191" s="1030"/>
      <c r="V191" s="790"/>
      <c r="W191" s="790"/>
      <c r="X191" s="790"/>
    </row>
    <row r="192" spans="17:24" ht="27" customHeight="1" hidden="1">
      <c r="Q192" s="112" t="s">
        <v>329</v>
      </c>
      <c r="R192" s="753">
        <f>SUM(S192:X193)</f>
        <v>10951413</v>
      </c>
      <c r="S192" s="1024">
        <v>5148137</v>
      </c>
      <c r="T192" s="1024">
        <v>934005</v>
      </c>
      <c r="U192" s="1024">
        <v>977333</v>
      </c>
      <c r="V192" s="1024">
        <v>1173930</v>
      </c>
      <c r="W192" s="1024">
        <v>1217658</v>
      </c>
      <c r="X192" s="1024">
        <v>1500350</v>
      </c>
    </row>
    <row r="193" spans="17:24" ht="27" customHeight="1" hidden="1">
      <c r="Q193" s="122" t="s">
        <v>1335</v>
      </c>
      <c r="R193" s="1038"/>
      <c r="S193" s="1030"/>
      <c r="T193" s="1030"/>
      <c r="U193" s="1030"/>
      <c r="V193" s="790"/>
      <c r="W193" s="790"/>
      <c r="X193" s="790"/>
    </row>
    <row r="194" spans="17:24" ht="27" customHeight="1" hidden="1">
      <c r="Q194" s="112" t="s">
        <v>330</v>
      </c>
      <c r="R194" s="753">
        <f>SUM(S194:X195)</f>
        <v>10734601</v>
      </c>
      <c r="S194" s="1024">
        <v>4756889</v>
      </c>
      <c r="T194" s="1024">
        <v>841043</v>
      </c>
      <c r="U194" s="1024">
        <v>1201882</v>
      </c>
      <c r="V194" s="1024">
        <v>1341874</v>
      </c>
      <c r="W194" s="1024">
        <v>1168372</v>
      </c>
      <c r="X194" s="1024">
        <v>1424541</v>
      </c>
    </row>
    <row r="195" spans="17:24" ht="27" customHeight="1" hidden="1">
      <c r="Q195" s="122" t="s">
        <v>1336</v>
      </c>
      <c r="R195" s="1038"/>
      <c r="S195" s="1030"/>
      <c r="T195" s="1030"/>
      <c r="U195" s="1030"/>
      <c r="V195" s="790"/>
      <c r="W195" s="790"/>
      <c r="X195" s="790"/>
    </row>
    <row r="196" spans="17:24" ht="27.75" customHeight="1">
      <c r="Q196" s="112" t="s">
        <v>332</v>
      </c>
      <c r="R196" s="387">
        <f aca="true" t="shared" si="14" ref="R196:X196">SUM(R197:R204)</f>
        <v>45800675</v>
      </c>
      <c r="S196" s="383">
        <f t="shared" si="14"/>
        <v>19945264</v>
      </c>
      <c r="T196" s="383">
        <f t="shared" si="14"/>
        <v>4225480</v>
      </c>
      <c r="U196" s="383">
        <f t="shared" si="14"/>
        <v>4826814</v>
      </c>
      <c r="V196" s="383">
        <f t="shared" si="14"/>
        <v>5227124</v>
      </c>
      <c r="W196" s="383">
        <f t="shared" si="14"/>
        <v>4922496</v>
      </c>
      <c r="X196" s="383">
        <f t="shared" si="14"/>
        <v>6653497</v>
      </c>
    </row>
    <row r="197" spans="17:24" ht="15" customHeight="1" hidden="1">
      <c r="Q197" s="112" t="s">
        <v>327</v>
      </c>
      <c r="R197" s="753">
        <f>SUM(S197:X198)</f>
        <v>11384245</v>
      </c>
      <c r="S197" s="1024">
        <v>5126154</v>
      </c>
      <c r="T197" s="1024">
        <v>935783</v>
      </c>
      <c r="U197" s="1024">
        <v>1218210</v>
      </c>
      <c r="V197" s="1024">
        <v>1314126</v>
      </c>
      <c r="W197" s="1024">
        <v>1274736</v>
      </c>
      <c r="X197" s="1024">
        <v>1515236</v>
      </c>
    </row>
    <row r="198" spans="17:24" ht="15" customHeight="1" hidden="1">
      <c r="Q198" s="122" t="s">
        <v>1333</v>
      </c>
      <c r="R198" s="1038"/>
      <c r="S198" s="1030"/>
      <c r="T198" s="1030"/>
      <c r="U198" s="1030"/>
      <c r="V198" s="790"/>
      <c r="W198" s="790"/>
      <c r="X198" s="790"/>
    </row>
    <row r="199" spans="17:24" ht="15" customHeight="1" hidden="1">
      <c r="Q199" s="112" t="s">
        <v>328</v>
      </c>
      <c r="R199" s="753">
        <f>SUM(S199:X200)</f>
        <v>11187158</v>
      </c>
      <c r="S199" s="1024">
        <v>4777967</v>
      </c>
      <c r="T199" s="1024">
        <v>920012</v>
      </c>
      <c r="U199" s="1024">
        <v>1232980</v>
      </c>
      <c r="V199" s="1024">
        <v>1066080</v>
      </c>
      <c r="W199" s="1024">
        <v>1224500</v>
      </c>
      <c r="X199" s="1024">
        <v>1965619</v>
      </c>
    </row>
    <row r="200" spans="17:24" ht="15" customHeight="1" hidden="1">
      <c r="Q200" s="122" t="s">
        <v>1334</v>
      </c>
      <c r="R200" s="1038"/>
      <c r="S200" s="1025"/>
      <c r="T200" s="1025"/>
      <c r="U200" s="1025"/>
      <c r="V200" s="1025"/>
      <c r="W200" s="1025"/>
      <c r="X200" s="1025"/>
    </row>
    <row r="201" spans="17:24" ht="15" customHeight="1" hidden="1">
      <c r="Q201" s="112" t="s">
        <v>329</v>
      </c>
      <c r="R201" s="753">
        <f>SUM(S201:X202)</f>
        <v>11837660</v>
      </c>
      <c r="S201" s="1024">
        <v>5049537</v>
      </c>
      <c r="T201" s="1024">
        <v>1143430</v>
      </c>
      <c r="U201" s="1024">
        <v>1250320</v>
      </c>
      <c r="V201" s="1024">
        <v>1361673</v>
      </c>
      <c r="W201" s="1024">
        <v>1310855</v>
      </c>
      <c r="X201" s="1024">
        <v>1721845</v>
      </c>
    </row>
    <row r="202" spans="17:24" ht="15" customHeight="1" hidden="1">
      <c r="Q202" s="122" t="s">
        <v>1335</v>
      </c>
      <c r="R202" s="1038"/>
      <c r="S202" s="1025"/>
      <c r="T202" s="1025"/>
      <c r="U202" s="1025"/>
      <c r="V202" s="1025"/>
      <c r="W202" s="1025"/>
      <c r="X202" s="1025"/>
    </row>
    <row r="203" spans="15:24" ht="15" customHeight="1" hidden="1">
      <c r="O203" s="99"/>
      <c r="Q203" s="112" t="s">
        <v>330</v>
      </c>
      <c r="R203" s="753">
        <f>SUM(S203:X204)</f>
        <v>11391612</v>
      </c>
      <c r="S203" s="1024">
        <v>4991606</v>
      </c>
      <c r="T203" s="1024">
        <v>1226255</v>
      </c>
      <c r="U203" s="1024">
        <v>1125304</v>
      </c>
      <c r="V203" s="1024">
        <v>1485245</v>
      </c>
      <c r="W203" s="1024">
        <v>1112405</v>
      </c>
      <c r="X203" s="1024">
        <v>1450797</v>
      </c>
    </row>
    <row r="204" spans="15:24" ht="15" customHeight="1" hidden="1">
      <c r="O204" s="99"/>
      <c r="Q204" s="122" t="s">
        <v>1336</v>
      </c>
      <c r="R204" s="1038"/>
      <c r="S204" s="1025"/>
      <c r="T204" s="1025"/>
      <c r="U204" s="1025"/>
      <c r="V204" s="1025"/>
      <c r="W204" s="1025"/>
      <c r="X204" s="1025"/>
    </row>
    <row r="205" spans="17:24" s="99" customFormat="1" ht="27.75" customHeight="1">
      <c r="Q205" s="112" t="s">
        <v>333</v>
      </c>
      <c r="R205" s="387">
        <f aca="true" t="shared" si="15" ref="R205:X205">SUM(R206:R212)</f>
        <v>54110595</v>
      </c>
      <c r="S205" s="383">
        <f t="shared" si="15"/>
        <v>24528907</v>
      </c>
      <c r="T205" s="383">
        <f t="shared" si="15"/>
        <v>5586212</v>
      </c>
      <c r="U205" s="383">
        <f t="shared" si="15"/>
        <v>5384121</v>
      </c>
      <c r="V205" s="383">
        <f t="shared" si="15"/>
        <v>7106176</v>
      </c>
      <c r="W205" s="383">
        <f t="shared" si="15"/>
        <v>5116150</v>
      </c>
      <c r="X205" s="383">
        <f t="shared" si="15"/>
        <v>6389029</v>
      </c>
    </row>
    <row r="206" spans="15:24" ht="15" customHeight="1" hidden="1">
      <c r="O206" s="99"/>
      <c r="Q206" s="112" t="s">
        <v>327</v>
      </c>
      <c r="R206" s="753">
        <v>12668856</v>
      </c>
      <c r="S206" s="1024">
        <v>5699656</v>
      </c>
      <c r="T206" s="1024">
        <v>1216938</v>
      </c>
      <c r="U206" s="1024">
        <v>1284283</v>
      </c>
      <c r="V206" s="1024">
        <v>1634415</v>
      </c>
      <c r="W206" s="1024">
        <v>1333632</v>
      </c>
      <c r="X206" s="1024">
        <v>1499932</v>
      </c>
    </row>
    <row r="207" spans="15:24" ht="15" customHeight="1" hidden="1">
      <c r="O207" s="99"/>
      <c r="Q207" s="122" t="s">
        <v>1333</v>
      </c>
      <c r="R207" s="1038"/>
      <c r="S207" s="1025"/>
      <c r="T207" s="1025"/>
      <c r="U207" s="1025"/>
      <c r="V207" s="1025"/>
      <c r="W207" s="1025"/>
      <c r="X207" s="1025"/>
    </row>
    <row r="208" spans="15:24" ht="15" customHeight="1" hidden="1">
      <c r="O208" s="99"/>
      <c r="Q208" s="112" t="s">
        <v>328</v>
      </c>
      <c r="R208" s="753">
        <v>13384786</v>
      </c>
      <c r="S208" s="1024">
        <v>5736161</v>
      </c>
      <c r="T208" s="1024">
        <v>1293265</v>
      </c>
      <c r="U208" s="1024">
        <v>1327669</v>
      </c>
      <c r="V208" s="1024">
        <v>1906013</v>
      </c>
      <c r="W208" s="1024">
        <v>1265416</v>
      </c>
      <c r="X208" s="1024">
        <v>1856262</v>
      </c>
    </row>
    <row r="209" spans="15:24" ht="15" customHeight="1" hidden="1">
      <c r="O209" s="99"/>
      <c r="Q209" s="122" t="s">
        <v>1334</v>
      </c>
      <c r="R209" s="1038"/>
      <c r="S209" s="1025"/>
      <c r="T209" s="1025"/>
      <c r="U209" s="1025"/>
      <c r="V209" s="1025"/>
      <c r="W209" s="1025"/>
      <c r="X209" s="1025"/>
    </row>
    <row r="210" spans="15:24" ht="15" customHeight="1" hidden="1">
      <c r="O210" s="99"/>
      <c r="Q210" s="112" t="s">
        <v>329</v>
      </c>
      <c r="R210" s="753">
        <v>14024770</v>
      </c>
      <c r="S210" s="1024">
        <v>6668071</v>
      </c>
      <c r="T210" s="1024">
        <v>1428923</v>
      </c>
      <c r="U210" s="1024">
        <v>1411487</v>
      </c>
      <c r="V210" s="1024">
        <v>1798250</v>
      </c>
      <c r="W210" s="1026">
        <v>1222403</v>
      </c>
      <c r="X210" s="1024">
        <v>1495636</v>
      </c>
    </row>
    <row r="211" spans="15:24" ht="0.75" customHeight="1">
      <c r="O211" s="99"/>
      <c r="Q211" s="122" t="s">
        <v>1335</v>
      </c>
      <c r="R211" s="1031"/>
      <c r="S211" s="1025"/>
      <c r="T211" s="1025"/>
      <c r="U211" s="1025"/>
      <c r="V211" s="1025"/>
      <c r="W211" s="1026"/>
      <c r="X211" s="1025"/>
    </row>
    <row r="212" spans="15:24" ht="15" customHeight="1" hidden="1">
      <c r="O212" s="99"/>
      <c r="Q212" s="112" t="s">
        <v>330</v>
      </c>
      <c r="R212" s="753">
        <v>14032183</v>
      </c>
      <c r="S212" s="1024">
        <v>6425019</v>
      </c>
      <c r="T212" s="1024">
        <v>1647086</v>
      </c>
      <c r="U212" s="1024">
        <v>1360682</v>
      </c>
      <c r="V212" s="1024">
        <v>1767498</v>
      </c>
      <c r="W212" s="1026">
        <v>1294699</v>
      </c>
      <c r="X212" s="1024">
        <v>1537199</v>
      </c>
    </row>
    <row r="213" spans="15:24" ht="15" customHeight="1" hidden="1">
      <c r="O213" s="99"/>
      <c r="Q213" s="122" t="s">
        <v>1336</v>
      </c>
      <c r="R213" s="1031"/>
      <c r="S213" s="1025"/>
      <c r="T213" s="1025"/>
      <c r="U213" s="1025"/>
      <c r="V213" s="1025"/>
      <c r="W213" s="1026"/>
      <c r="X213" s="1025"/>
    </row>
    <row r="214" spans="15:24" ht="27.75" customHeight="1">
      <c r="O214" s="99"/>
      <c r="Q214" s="112" t="s">
        <v>334</v>
      </c>
      <c r="R214" s="220">
        <f aca="true" t="shared" si="16" ref="R214:X214">SUM(R215:R222)</f>
        <v>56966304</v>
      </c>
      <c r="S214" s="219">
        <f t="shared" si="16"/>
        <v>27212919</v>
      </c>
      <c r="T214" s="219">
        <f t="shared" si="16"/>
        <v>7230690</v>
      </c>
      <c r="U214" s="219">
        <f t="shared" si="16"/>
        <v>4879578</v>
      </c>
      <c r="V214" s="219">
        <f t="shared" si="16"/>
        <v>6726721</v>
      </c>
      <c r="W214" s="395">
        <f t="shared" si="16"/>
        <v>4711048</v>
      </c>
      <c r="X214" s="395">
        <f t="shared" si="16"/>
        <v>6205348</v>
      </c>
    </row>
    <row r="215" spans="15:24" ht="15" customHeight="1" hidden="1">
      <c r="O215" s="99"/>
      <c r="Q215" s="112" t="s">
        <v>327</v>
      </c>
      <c r="R215" s="753">
        <v>14206075</v>
      </c>
      <c r="S215" s="1024">
        <v>6798464</v>
      </c>
      <c r="T215" s="1024">
        <v>1731844</v>
      </c>
      <c r="U215" s="1024">
        <v>1173142</v>
      </c>
      <c r="V215" s="1024">
        <v>1699958</v>
      </c>
      <c r="W215" s="1026">
        <v>1198216</v>
      </c>
      <c r="X215" s="1024">
        <v>1604451</v>
      </c>
    </row>
    <row r="216" spans="15:24" ht="15" customHeight="1" hidden="1">
      <c r="O216" s="99"/>
      <c r="Q216" s="122" t="s">
        <v>1333</v>
      </c>
      <c r="R216" s="1031"/>
      <c r="S216" s="1025"/>
      <c r="T216" s="1025"/>
      <c r="U216" s="1025"/>
      <c r="V216" s="1025"/>
      <c r="W216" s="1026"/>
      <c r="X216" s="1025"/>
    </row>
    <row r="217" spans="15:24" ht="15" customHeight="1" hidden="1">
      <c r="O217" s="99"/>
      <c r="Q217" s="112" t="s">
        <v>328</v>
      </c>
      <c r="R217" s="753">
        <v>13940327</v>
      </c>
      <c r="S217" s="1024">
        <v>6967966</v>
      </c>
      <c r="T217" s="1024">
        <v>1719258</v>
      </c>
      <c r="U217" s="1024">
        <v>1023433</v>
      </c>
      <c r="V217" s="1024">
        <v>1614323</v>
      </c>
      <c r="W217" s="1026">
        <v>1114312</v>
      </c>
      <c r="X217" s="1024">
        <v>1501035</v>
      </c>
    </row>
    <row r="218" spans="15:24" ht="15" customHeight="1" hidden="1">
      <c r="O218" s="99"/>
      <c r="Q218" s="122" t="s">
        <v>1334</v>
      </c>
      <c r="R218" s="1031"/>
      <c r="S218" s="1025"/>
      <c r="T218" s="1025"/>
      <c r="U218" s="1025"/>
      <c r="V218" s="1025"/>
      <c r="W218" s="1026"/>
      <c r="X218" s="1025"/>
    </row>
    <row r="219" spans="15:24" ht="13.5" customHeight="1" hidden="1">
      <c r="O219" s="99"/>
      <c r="Q219" s="112" t="s">
        <v>329</v>
      </c>
      <c r="R219" s="753">
        <v>14462062</v>
      </c>
      <c r="S219" s="1024">
        <v>6873567</v>
      </c>
      <c r="T219" s="1024">
        <v>1888762</v>
      </c>
      <c r="U219" s="1024">
        <v>1271785</v>
      </c>
      <c r="V219" s="1024">
        <v>1716254</v>
      </c>
      <c r="W219" s="1026">
        <v>1201670</v>
      </c>
      <c r="X219" s="1024">
        <v>1510024</v>
      </c>
    </row>
    <row r="220" spans="15:24" ht="13.5" customHeight="1" hidden="1">
      <c r="O220" s="99"/>
      <c r="Q220" s="122" t="s">
        <v>1335</v>
      </c>
      <c r="R220" s="1031"/>
      <c r="S220" s="1025"/>
      <c r="T220" s="1025"/>
      <c r="U220" s="1025"/>
      <c r="V220" s="1025"/>
      <c r="W220" s="1026"/>
      <c r="X220" s="1025"/>
    </row>
    <row r="221" spans="15:24" ht="13.5" customHeight="1" hidden="1">
      <c r="O221" s="99"/>
      <c r="Q221" s="112" t="s">
        <v>330</v>
      </c>
      <c r="R221" s="753">
        <v>14357840</v>
      </c>
      <c r="S221" s="1024">
        <v>6572922</v>
      </c>
      <c r="T221" s="1024">
        <v>1890826</v>
      </c>
      <c r="U221" s="1024">
        <v>1411218</v>
      </c>
      <c r="V221" s="1024">
        <v>1696186</v>
      </c>
      <c r="W221" s="1026">
        <v>1196850</v>
      </c>
      <c r="X221" s="1024">
        <v>1589838</v>
      </c>
    </row>
    <row r="222" spans="15:24" ht="13.5" customHeight="1" hidden="1">
      <c r="O222" s="99"/>
      <c r="Q222" s="122" t="s">
        <v>1336</v>
      </c>
      <c r="R222" s="1031"/>
      <c r="S222" s="1025"/>
      <c r="T222" s="1025"/>
      <c r="U222" s="1025"/>
      <c r="V222" s="1025"/>
      <c r="W222" s="1026"/>
      <c r="X222" s="1025"/>
    </row>
    <row r="223" spans="15:24" s="157" customFormat="1" ht="27.75" customHeight="1">
      <c r="O223" s="140"/>
      <c r="Q223" s="112" t="s">
        <v>335</v>
      </c>
      <c r="R223" s="388">
        <f aca="true" t="shared" si="17" ref="R223:X223">SUM(R224:R231)</f>
        <v>56595307</v>
      </c>
      <c r="S223" s="389">
        <f t="shared" si="17"/>
        <v>27642931</v>
      </c>
      <c r="T223" s="389">
        <f t="shared" si="17"/>
        <v>6920988</v>
      </c>
      <c r="U223" s="389">
        <f t="shared" si="17"/>
        <v>4720228</v>
      </c>
      <c r="V223" s="389">
        <f t="shared" si="17"/>
        <v>6793543</v>
      </c>
      <c r="W223" s="389">
        <f t="shared" si="17"/>
        <v>4586912</v>
      </c>
      <c r="X223" s="389">
        <f t="shared" si="17"/>
        <v>5930705</v>
      </c>
    </row>
    <row r="224" spans="15:24" ht="13.5" customHeight="1" hidden="1">
      <c r="O224" s="99"/>
      <c r="Q224" s="112" t="s">
        <v>327</v>
      </c>
      <c r="R224" s="753">
        <f>SUM(S224:X225)</f>
        <v>14231078</v>
      </c>
      <c r="S224" s="1024">
        <v>7056454</v>
      </c>
      <c r="T224" s="1024">
        <v>1797113</v>
      </c>
      <c r="U224" s="1024">
        <v>1136842</v>
      </c>
      <c r="V224" s="1024">
        <v>1592563</v>
      </c>
      <c r="W224" s="1026">
        <v>1167034</v>
      </c>
      <c r="X224" s="1024">
        <v>1481072</v>
      </c>
    </row>
    <row r="225" spans="15:24" ht="13.5" customHeight="1" hidden="1">
      <c r="O225" s="99"/>
      <c r="Q225" s="122" t="s">
        <v>1333</v>
      </c>
      <c r="R225" s="753"/>
      <c r="S225" s="1024"/>
      <c r="T225" s="1024"/>
      <c r="U225" s="1024"/>
      <c r="V225" s="1024"/>
      <c r="W225" s="1026"/>
      <c r="X225" s="1024"/>
    </row>
    <row r="226" spans="15:24" ht="13.5" customHeight="1" hidden="1">
      <c r="O226" s="99"/>
      <c r="Q226" s="112" t="s">
        <v>328</v>
      </c>
      <c r="R226" s="753">
        <f>SUM(S226:X227)</f>
        <v>14301231</v>
      </c>
      <c r="S226" s="1024">
        <v>7049212</v>
      </c>
      <c r="T226" s="1024">
        <v>1767775</v>
      </c>
      <c r="U226" s="1024">
        <v>1233266</v>
      </c>
      <c r="V226" s="1024">
        <v>1713279</v>
      </c>
      <c r="W226" s="1026">
        <v>1059200</v>
      </c>
      <c r="X226" s="1024">
        <v>1478499</v>
      </c>
    </row>
    <row r="227" spans="15:24" ht="13.5" customHeight="1" hidden="1">
      <c r="O227" s="99"/>
      <c r="Q227" s="122" t="s">
        <v>1334</v>
      </c>
      <c r="R227" s="753"/>
      <c r="S227" s="1065"/>
      <c r="T227" s="1065"/>
      <c r="U227" s="1065"/>
      <c r="V227" s="1065"/>
      <c r="W227" s="1026"/>
      <c r="X227" s="1065"/>
    </row>
    <row r="228" spans="15:24" ht="13.5" customHeight="1" hidden="1">
      <c r="O228" s="99"/>
      <c r="Q228" s="112" t="s">
        <v>329</v>
      </c>
      <c r="R228" s="753">
        <f>SUM(S228:X229)</f>
        <v>13954656</v>
      </c>
      <c r="S228" s="1024">
        <v>6761076</v>
      </c>
      <c r="T228" s="1024">
        <v>1703327</v>
      </c>
      <c r="U228" s="1024">
        <v>1134741</v>
      </c>
      <c r="V228" s="1024">
        <v>1743743</v>
      </c>
      <c r="W228" s="1026">
        <v>1159959</v>
      </c>
      <c r="X228" s="1024">
        <v>1451810</v>
      </c>
    </row>
    <row r="229" spans="15:24" ht="13.5" customHeight="1" hidden="1">
      <c r="O229" s="99"/>
      <c r="Q229" s="122" t="s">
        <v>1335</v>
      </c>
      <c r="R229" s="753"/>
      <c r="S229" s="1025"/>
      <c r="T229" s="1025"/>
      <c r="U229" s="1025"/>
      <c r="V229" s="1025"/>
      <c r="W229" s="1026"/>
      <c r="X229" s="1025"/>
    </row>
    <row r="230" spans="15:24" ht="13.5" customHeight="1">
      <c r="O230" s="99"/>
      <c r="Q230" s="112" t="s">
        <v>330</v>
      </c>
      <c r="R230" s="753">
        <f>SUM(S230:X231)</f>
        <v>14108342</v>
      </c>
      <c r="S230" s="1024">
        <v>6776189</v>
      </c>
      <c r="T230" s="1024">
        <v>1652773</v>
      </c>
      <c r="U230" s="1024">
        <v>1215379</v>
      </c>
      <c r="V230" s="1024">
        <v>1743958</v>
      </c>
      <c r="W230" s="1026">
        <v>1200719</v>
      </c>
      <c r="X230" s="1024">
        <v>1519324</v>
      </c>
    </row>
    <row r="231" spans="15:24" ht="13.5" customHeight="1">
      <c r="O231" s="99"/>
      <c r="Q231" s="122" t="s">
        <v>1336</v>
      </c>
      <c r="R231" s="753"/>
      <c r="S231" s="1024"/>
      <c r="T231" s="1025"/>
      <c r="U231" s="1025"/>
      <c r="V231" s="1025"/>
      <c r="W231" s="1026"/>
      <c r="X231" s="1025"/>
    </row>
    <row r="232" spans="15:24" s="582" customFormat="1" ht="29.25" customHeight="1">
      <c r="O232" s="610"/>
      <c r="Q232" s="580" t="s">
        <v>336</v>
      </c>
      <c r="R232" s="387"/>
      <c r="S232" s="92"/>
      <c r="T232" s="92"/>
      <c r="U232" s="92"/>
      <c r="V232" s="92"/>
      <c r="W232" s="395"/>
      <c r="X232" s="92"/>
    </row>
    <row r="233" spans="15:24" s="582" customFormat="1" ht="15" customHeight="1">
      <c r="O233" s="610"/>
      <c r="Q233" s="580" t="s">
        <v>337</v>
      </c>
      <c r="R233" s="753">
        <f>SUM(S233:X234)</f>
        <v>14796857</v>
      </c>
      <c r="S233" s="1024">
        <v>6781548</v>
      </c>
      <c r="T233" s="1024">
        <v>1796410</v>
      </c>
      <c r="U233" s="1024">
        <v>1142590</v>
      </c>
      <c r="V233" s="1024">
        <v>1751708</v>
      </c>
      <c r="W233" s="1026">
        <v>1290653</v>
      </c>
      <c r="X233" s="1024">
        <v>2033948</v>
      </c>
    </row>
    <row r="234" spans="15:24" s="582" customFormat="1" ht="15" customHeight="1">
      <c r="O234" s="610"/>
      <c r="Q234" s="583" t="s">
        <v>1333</v>
      </c>
      <c r="R234" s="753"/>
      <c r="S234" s="1024"/>
      <c r="T234" s="1025"/>
      <c r="U234" s="1025"/>
      <c r="V234" s="1025"/>
      <c r="W234" s="1026"/>
      <c r="X234" s="1025"/>
    </row>
    <row r="235" spans="15:24" s="582" customFormat="1" ht="15" customHeight="1">
      <c r="O235" s="610"/>
      <c r="Q235" s="112" t="s">
        <v>328</v>
      </c>
      <c r="R235" s="753">
        <f>SUM(S235:X236)</f>
        <v>15267979</v>
      </c>
      <c r="S235" s="1026">
        <v>6540516</v>
      </c>
      <c r="T235" s="1026">
        <v>1790192</v>
      </c>
      <c r="U235" s="1026">
        <v>1292850</v>
      </c>
      <c r="V235" s="1026">
        <v>1737141</v>
      </c>
      <c r="W235" s="1026">
        <v>1369345</v>
      </c>
      <c r="X235" s="1026">
        <v>2537935</v>
      </c>
    </row>
    <row r="236" spans="15:24" s="582" customFormat="1" ht="15" customHeight="1">
      <c r="O236" s="610"/>
      <c r="Q236" s="122" t="s">
        <v>1334</v>
      </c>
      <c r="R236" s="753"/>
      <c r="S236" s="1026"/>
      <c r="T236" s="1026"/>
      <c r="U236" s="1026"/>
      <c r="V236" s="1026"/>
      <c r="W236" s="1026"/>
      <c r="X236" s="1026"/>
    </row>
    <row r="237" spans="15:24" s="582" customFormat="1" ht="15" customHeight="1">
      <c r="O237" s="610"/>
      <c r="Q237" s="112" t="s">
        <v>329</v>
      </c>
      <c r="R237" s="1009">
        <v>16255915</v>
      </c>
      <c r="S237" s="1008">
        <v>6774752</v>
      </c>
      <c r="T237" s="1008">
        <v>1847808</v>
      </c>
      <c r="U237" s="1008">
        <v>1284196</v>
      </c>
      <c r="V237" s="1008">
        <v>1931465</v>
      </c>
      <c r="W237" s="1008">
        <v>1478151</v>
      </c>
      <c r="X237" s="1008">
        <v>2939543</v>
      </c>
    </row>
    <row r="238" spans="15:24" s="582" customFormat="1" ht="15" customHeight="1">
      <c r="O238" s="610"/>
      <c r="Q238" s="122" t="s">
        <v>1335</v>
      </c>
      <c r="R238" s="1009"/>
      <c r="S238" s="1008"/>
      <c r="T238" s="1008"/>
      <c r="U238" s="1008"/>
      <c r="V238" s="1008"/>
      <c r="W238" s="1008"/>
      <c r="X238" s="1008"/>
    </row>
    <row r="239" spans="15:25" s="582" customFormat="1" ht="15" customHeight="1">
      <c r="O239" s="610"/>
      <c r="Q239" s="112" t="s">
        <v>330</v>
      </c>
      <c r="R239" s="1073">
        <v>16144438</v>
      </c>
      <c r="S239" s="1026">
        <v>6507792</v>
      </c>
      <c r="T239" s="1026">
        <v>1857607</v>
      </c>
      <c r="U239" s="1026">
        <v>1419474</v>
      </c>
      <c r="V239" s="1026">
        <v>1937697</v>
      </c>
      <c r="W239" s="1026">
        <v>1319805</v>
      </c>
      <c r="X239" s="1026">
        <v>3102063</v>
      </c>
      <c r="Y239" s="225"/>
    </row>
    <row r="240" spans="15:25" s="582" customFormat="1" ht="15" customHeight="1" thickBot="1">
      <c r="O240" s="610"/>
      <c r="Q240" s="122" t="s">
        <v>1336</v>
      </c>
      <c r="R240" s="1074"/>
      <c r="S240" s="1075"/>
      <c r="T240" s="1075"/>
      <c r="U240" s="1075"/>
      <c r="V240" s="1075"/>
      <c r="W240" s="1075"/>
      <c r="X240" s="1075"/>
      <c r="Y240" s="225"/>
    </row>
    <row r="241" spans="15:25" s="582" customFormat="1" ht="27.75" customHeight="1">
      <c r="O241" s="610"/>
      <c r="Q241" s="584" t="s">
        <v>338</v>
      </c>
      <c r="R241" s="1053">
        <f aca="true" t="shared" si="18" ref="R241:X241">(R239-R237)/R237*100</f>
        <v>-0.6857626900731211</v>
      </c>
      <c r="S241" s="1010">
        <f t="shared" si="18"/>
        <v>-3.940513246831766</v>
      </c>
      <c r="T241" s="1010">
        <f t="shared" si="18"/>
        <v>0.5303040142698808</v>
      </c>
      <c r="U241" s="1010">
        <f t="shared" si="18"/>
        <v>10.534061778731596</v>
      </c>
      <c r="V241" s="1010">
        <f t="shared" si="18"/>
        <v>0.32265663628385705</v>
      </c>
      <c r="W241" s="1010">
        <f t="shared" si="18"/>
        <v>-10.71243736262398</v>
      </c>
      <c r="X241" s="1010">
        <f t="shared" si="18"/>
        <v>5.528750557484615</v>
      </c>
      <c r="Y241" s="225"/>
    </row>
    <row r="242" spans="15:25" s="582" customFormat="1" ht="27.75" customHeight="1" thickBot="1">
      <c r="O242" s="610"/>
      <c r="Q242" s="585" t="s">
        <v>339</v>
      </c>
      <c r="R242" s="1054"/>
      <c r="S242" s="1011"/>
      <c r="T242" s="1011"/>
      <c r="U242" s="1011"/>
      <c r="V242" s="1011"/>
      <c r="W242" s="1011"/>
      <c r="X242" s="1011"/>
      <c r="Y242" s="225"/>
    </row>
    <row r="243" spans="17:25" s="582" customFormat="1" ht="27.75" customHeight="1">
      <c r="Q243" s="584" t="s">
        <v>340</v>
      </c>
      <c r="R243" s="1051">
        <f aca="true" t="shared" si="19" ref="R243:X243">(R239-R230)/R230*100</f>
        <v>14.43185882508377</v>
      </c>
      <c r="S243" s="1032">
        <f t="shared" si="19"/>
        <v>-3.960884207922772</v>
      </c>
      <c r="T243" s="1032">
        <f t="shared" si="19"/>
        <v>12.393353473223485</v>
      </c>
      <c r="U243" s="1032">
        <f t="shared" si="19"/>
        <v>16.792704168823057</v>
      </c>
      <c r="V243" s="1032">
        <f t="shared" si="19"/>
        <v>11.10915515167223</v>
      </c>
      <c r="W243" s="1032">
        <f t="shared" si="19"/>
        <v>9.917890863724152</v>
      </c>
      <c r="X243" s="1032">
        <f t="shared" si="19"/>
        <v>104.1738957589033</v>
      </c>
      <c r="Y243" s="225"/>
    </row>
    <row r="244" spans="17:25" s="582" customFormat="1" ht="27.75" customHeight="1" thickBot="1">
      <c r="Q244" s="585" t="s">
        <v>341</v>
      </c>
      <c r="R244" s="1057"/>
      <c r="S244" s="1043"/>
      <c r="T244" s="1043"/>
      <c r="U244" s="1043"/>
      <c r="V244" s="1043"/>
      <c r="W244" s="1043"/>
      <c r="X244" s="1043"/>
      <c r="Y244" s="225"/>
    </row>
    <row r="245" spans="17:18" ht="18" customHeight="1">
      <c r="Q245" s="113" t="s">
        <v>916</v>
      </c>
      <c r="R245" s="189"/>
    </row>
    <row r="246" spans="17:18" ht="18" customHeight="1">
      <c r="Q246" s="116" t="s">
        <v>358</v>
      </c>
      <c r="R246" s="188" t="s">
        <v>359</v>
      </c>
    </row>
    <row r="247" ht="18" customHeight="1">
      <c r="R247" s="114" t="s">
        <v>360</v>
      </c>
    </row>
    <row r="248" spans="18:24" ht="12" customHeight="1">
      <c r="R248" s="144"/>
      <c r="S248" s="144"/>
      <c r="T248" s="144"/>
      <c r="U248" s="144"/>
      <c r="V248" s="144"/>
      <c r="W248" s="144"/>
      <c r="X248" s="144"/>
    </row>
    <row r="250" spans="16:25" ht="24" customHeight="1">
      <c r="P250" s="899" t="s">
        <v>361</v>
      </c>
      <c r="Q250" s="899"/>
      <c r="R250" s="899"/>
      <c r="S250" s="899"/>
      <c r="T250" s="899"/>
      <c r="U250" s="899"/>
      <c r="V250" s="899"/>
      <c r="W250" s="899"/>
      <c r="X250" s="899"/>
      <c r="Y250" s="37"/>
    </row>
  </sheetData>
  <mergeCells count="713">
    <mergeCell ref="V239:V240"/>
    <mergeCell ref="W239:W240"/>
    <mergeCell ref="X239:X240"/>
    <mergeCell ref="R239:R240"/>
    <mergeCell ref="S239:S240"/>
    <mergeCell ref="T239:T240"/>
    <mergeCell ref="U239:U240"/>
    <mergeCell ref="K136:K137"/>
    <mergeCell ref="L136:L137"/>
    <mergeCell ref="M136:M137"/>
    <mergeCell ref="N136:N137"/>
    <mergeCell ref="G136:G137"/>
    <mergeCell ref="H136:H137"/>
    <mergeCell ref="I136:I137"/>
    <mergeCell ref="J136:J137"/>
    <mergeCell ref="C136:C137"/>
    <mergeCell ref="D136:D137"/>
    <mergeCell ref="E136:E137"/>
    <mergeCell ref="F136:F137"/>
    <mergeCell ref="W20:W21"/>
    <mergeCell ref="X20:X21"/>
    <mergeCell ref="Y20:Y21"/>
    <mergeCell ref="S20:S21"/>
    <mergeCell ref="T20:T21"/>
    <mergeCell ref="U20:U21"/>
    <mergeCell ref="V20:V21"/>
    <mergeCell ref="W2:W3"/>
    <mergeCell ref="X2:X3"/>
    <mergeCell ref="Y2:Y3"/>
    <mergeCell ref="Z2:Z3"/>
    <mergeCell ref="S2:S3"/>
    <mergeCell ref="T2:T3"/>
    <mergeCell ref="U2:U3"/>
    <mergeCell ref="V2:V3"/>
    <mergeCell ref="V235:V236"/>
    <mergeCell ref="W235:W236"/>
    <mergeCell ref="X235:X236"/>
    <mergeCell ref="R235:R236"/>
    <mergeCell ref="S235:S236"/>
    <mergeCell ref="T235:T236"/>
    <mergeCell ref="U235:U236"/>
    <mergeCell ref="K132:K133"/>
    <mergeCell ref="L132:L133"/>
    <mergeCell ref="M132:M133"/>
    <mergeCell ref="N132:N133"/>
    <mergeCell ref="G132:G133"/>
    <mergeCell ref="H132:H133"/>
    <mergeCell ref="I132:I133"/>
    <mergeCell ref="J132:J133"/>
    <mergeCell ref="C132:C133"/>
    <mergeCell ref="D132:D133"/>
    <mergeCell ref="E132:E133"/>
    <mergeCell ref="F132:F133"/>
    <mergeCell ref="V228:V229"/>
    <mergeCell ref="W228:W229"/>
    <mergeCell ref="X228:X229"/>
    <mergeCell ref="R228:R229"/>
    <mergeCell ref="S228:S229"/>
    <mergeCell ref="T228:T229"/>
    <mergeCell ref="U228:U229"/>
    <mergeCell ref="K125:K126"/>
    <mergeCell ref="L125:L126"/>
    <mergeCell ref="M125:M126"/>
    <mergeCell ref="N125:N126"/>
    <mergeCell ref="G125:G126"/>
    <mergeCell ref="H125:H126"/>
    <mergeCell ref="I125:I126"/>
    <mergeCell ref="J125:J126"/>
    <mergeCell ref="C125:C126"/>
    <mergeCell ref="D125:D126"/>
    <mergeCell ref="E125:E126"/>
    <mergeCell ref="F125:F126"/>
    <mergeCell ref="U224:U225"/>
    <mergeCell ref="V224:V225"/>
    <mergeCell ref="X224:X225"/>
    <mergeCell ref="X226:X227"/>
    <mergeCell ref="R226:R227"/>
    <mergeCell ref="S226:S227"/>
    <mergeCell ref="T226:T227"/>
    <mergeCell ref="U226:U227"/>
    <mergeCell ref="C123:C124"/>
    <mergeCell ref="D123:D124"/>
    <mergeCell ref="E123:E124"/>
    <mergeCell ref="F123:F124"/>
    <mergeCell ref="G121:G122"/>
    <mergeCell ref="H121:H122"/>
    <mergeCell ref="I121:I122"/>
    <mergeCell ref="L121:L122"/>
    <mergeCell ref="G123:G124"/>
    <mergeCell ref="H123:H124"/>
    <mergeCell ref="I123:I124"/>
    <mergeCell ref="J123:J124"/>
    <mergeCell ref="K123:K124"/>
    <mergeCell ref="R224:R225"/>
    <mergeCell ref="L123:L124"/>
    <mergeCell ref="M123:M124"/>
    <mergeCell ref="N123:N124"/>
    <mergeCell ref="R174:R175"/>
    <mergeCell ref="M127:M128"/>
    <mergeCell ref="N127:N128"/>
    <mergeCell ref="R192:R193"/>
    <mergeCell ref="R199:R200"/>
    <mergeCell ref="J127:J128"/>
    <mergeCell ref="X212:X213"/>
    <mergeCell ref="R212:R213"/>
    <mergeCell ref="S212:S213"/>
    <mergeCell ref="T212:T213"/>
    <mergeCell ref="U212:U213"/>
    <mergeCell ref="T201:T202"/>
    <mergeCell ref="V183:V184"/>
    <mergeCell ref="R197:R198"/>
    <mergeCell ref="R203:R204"/>
    <mergeCell ref="V210:V211"/>
    <mergeCell ref="S201:S202"/>
    <mergeCell ref="G112:G113"/>
    <mergeCell ref="H112:H113"/>
    <mergeCell ref="I112:I113"/>
    <mergeCell ref="J112:J113"/>
    <mergeCell ref="M112:M113"/>
    <mergeCell ref="N112:N113"/>
    <mergeCell ref="L112:L113"/>
    <mergeCell ref="I127:I128"/>
    <mergeCell ref="G107:G108"/>
    <mergeCell ref="H107:H108"/>
    <mergeCell ref="I107:I108"/>
    <mergeCell ref="J107:J108"/>
    <mergeCell ref="N107:N108"/>
    <mergeCell ref="U206:U207"/>
    <mergeCell ref="U201:U202"/>
    <mergeCell ref="R201:R202"/>
    <mergeCell ref="Q150:Q153"/>
    <mergeCell ref="R150:R151"/>
    <mergeCell ref="S150:S151"/>
    <mergeCell ref="T150:T151"/>
    <mergeCell ref="U150:U151"/>
    <mergeCell ref="R172:R173"/>
    <mergeCell ref="X230:X231"/>
    <mergeCell ref="L109:L110"/>
    <mergeCell ref="M109:M110"/>
    <mergeCell ref="N109:N110"/>
    <mergeCell ref="V230:V231"/>
    <mergeCell ref="V206:V207"/>
    <mergeCell ref="W206:W207"/>
    <mergeCell ref="X206:X207"/>
    <mergeCell ref="X210:X211"/>
    <mergeCell ref="R210:R211"/>
    <mergeCell ref="W230:W231"/>
    <mergeCell ref="W210:W211"/>
    <mergeCell ref="V212:V213"/>
    <mergeCell ref="W212:W213"/>
    <mergeCell ref="V221:V222"/>
    <mergeCell ref="W224:W225"/>
    <mergeCell ref="V226:V227"/>
    <mergeCell ref="W226:W227"/>
    <mergeCell ref="V219:V220"/>
    <mergeCell ref="W219:W220"/>
    <mergeCell ref="C100:C101"/>
    <mergeCell ref="R230:R231"/>
    <mergeCell ref="S230:S231"/>
    <mergeCell ref="T230:T231"/>
    <mergeCell ref="C109:C110"/>
    <mergeCell ref="D109:D110"/>
    <mergeCell ref="E109:E110"/>
    <mergeCell ref="F109:F110"/>
    <mergeCell ref="G109:G110"/>
    <mergeCell ref="H109:H110"/>
    <mergeCell ref="N96:N97"/>
    <mergeCell ref="E94:E95"/>
    <mergeCell ref="F94:F95"/>
    <mergeCell ref="C103:C104"/>
    <mergeCell ref="D103:D104"/>
    <mergeCell ref="E103:E104"/>
    <mergeCell ref="C98:C99"/>
    <mergeCell ref="D98:D99"/>
    <mergeCell ref="E98:E99"/>
    <mergeCell ref="F98:F99"/>
    <mergeCell ref="M96:M97"/>
    <mergeCell ref="L94:L95"/>
    <mergeCell ref="K96:K97"/>
    <mergeCell ref="L96:L97"/>
    <mergeCell ref="K94:K95"/>
    <mergeCell ref="G86:G87"/>
    <mergeCell ref="H86:H87"/>
    <mergeCell ref="I86:I87"/>
    <mergeCell ref="J86:J87"/>
    <mergeCell ref="C86:C87"/>
    <mergeCell ref="D86:D87"/>
    <mergeCell ref="E86:E87"/>
    <mergeCell ref="F86:F87"/>
    <mergeCell ref="G81:G82"/>
    <mergeCell ref="H81:H82"/>
    <mergeCell ref="I81:I82"/>
    <mergeCell ref="J81:J82"/>
    <mergeCell ref="C81:C82"/>
    <mergeCell ref="D81:D82"/>
    <mergeCell ref="E81:E82"/>
    <mergeCell ref="F81:F82"/>
    <mergeCell ref="X219:X220"/>
    <mergeCell ref="C79:C80"/>
    <mergeCell ref="D79:D80"/>
    <mergeCell ref="E79:E80"/>
    <mergeCell ref="F79:F80"/>
    <mergeCell ref="G79:G80"/>
    <mergeCell ref="H79:H80"/>
    <mergeCell ref="I79:I80"/>
    <mergeCell ref="R219:R220"/>
    <mergeCell ref="K79:K80"/>
    <mergeCell ref="S199:S200"/>
    <mergeCell ref="J79:J80"/>
    <mergeCell ref="L79:L80"/>
    <mergeCell ref="M79:M80"/>
    <mergeCell ref="K81:K82"/>
    <mergeCell ref="L81:L82"/>
    <mergeCell ref="M81:M82"/>
    <mergeCell ref="J94:J95"/>
    <mergeCell ref="M103:M104"/>
    <mergeCell ref="J96:J97"/>
    <mergeCell ref="S217:S218"/>
    <mergeCell ref="S210:S211"/>
    <mergeCell ref="T210:T211"/>
    <mergeCell ref="U210:U211"/>
    <mergeCell ref="G77:G78"/>
    <mergeCell ref="H77:H78"/>
    <mergeCell ref="I77:I78"/>
    <mergeCell ref="J77:J78"/>
    <mergeCell ref="C77:C78"/>
    <mergeCell ref="D77:D78"/>
    <mergeCell ref="E77:E78"/>
    <mergeCell ref="F77:F78"/>
    <mergeCell ref="K72:K73"/>
    <mergeCell ref="L72:L73"/>
    <mergeCell ref="M72:M73"/>
    <mergeCell ref="N72:N73"/>
    <mergeCell ref="G72:G73"/>
    <mergeCell ref="H72:H73"/>
    <mergeCell ref="I72:I73"/>
    <mergeCell ref="J72:J73"/>
    <mergeCell ref="C72:C73"/>
    <mergeCell ref="D72:D73"/>
    <mergeCell ref="E72:E73"/>
    <mergeCell ref="F72:F73"/>
    <mergeCell ref="W217:W218"/>
    <mergeCell ref="X217:X218"/>
    <mergeCell ref="R183:R184"/>
    <mergeCell ref="S183:S184"/>
    <mergeCell ref="S197:S198"/>
    <mergeCell ref="T197:T198"/>
    <mergeCell ref="U197:U198"/>
    <mergeCell ref="R206:R207"/>
    <mergeCell ref="S206:S207"/>
    <mergeCell ref="T206:T207"/>
    <mergeCell ref="L75:L76"/>
    <mergeCell ref="M75:M76"/>
    <mergeCell ref="N75:N76"/>
    <mergeCell ref="R217:R218"/>
    <mergeCell ref="L77:L78"/>
    <mergeCell ref="M77:M78"/>
    <mergeCell ref="N77:N78"/>
    <mergeCell ref="N81:N82"/>
    <mergeCell ref="N103:N104"/>
    <mergeCell ref="N94:N95"/>
    <mergeCell ref="N79:N80"/>
    <mergeCell ref="L107:L108"/>
    <mergeCell ref="M107:M108"/>
    <mergeCell ref="M70:M71"/>
    <mergeCell ref="N70:N71"/>
    <mergeCell ref="M94:M95"/>
    <mergeCell ref="M98:M99"/>
    <mergeCell ref="M100:M101"/>
    <mergeCell ref="N100:N101"/>
    <mergeCell ref="L105:L106"/>
    <mergeCell ref="C75:C76"/>
    <mergeCell ref="D75:D76"/>
    <mergeCell ref="E75:E76"/>
    <mergeCell ref="F75:F76"/>
    <mergeCell ref="G75:G76"/>
    <mergeCell ref="H75:H76"/>
    <mergeCell ref="I75:I76"/>
    <mergeCell ref="J75:J76"/>
    <mergeCell ref="I70:I71"/>
    <mergeCell ref="J70:J71"/>
    <mergeCell ref="K70:K71"/>
    <mergeCell ref="L70:L71"/>
    <mergeCell ref="C70:C71"/>
    <mergeCell ref="D70:D71"/>
    <mergeCell ref="E70:E71"/>
    <mergeCell ref="F70:F71"/>
    <mergeCell ref="K68:K69"/>
    <mergeCell ref="L68:L69"/>
    <mergeCell ref="M68:M69"/>
    <mergeCell ref="N68:N69"/>
    <mergeCell ref="G70:G71"/>
    <mergeCell ref="H70:H71"/>
    <mergeCell ref="C66:C67"/>
    <mergeCell ref="D66:D67"/>
    <mergeCell ref="E66:E67"/>
    <mergeCell ref="F66:F67"/>
    <mergeCell ref="C68:C69"/>
    <mergeCell ref="D68:D69"/>
    <mergeCell ref="E68:E69"/>
    <mergeCell ref="F68:F69"/>
    <mergeCell ref="G68:G69"/>
    <mergeCell ref="H68:H69"/>
    <mergeCell ref="I68:I69"/>
    <mergeCell ref="J68:J69"/>
    <mergeCell ref="B2:N2"/>
    <mergeCell ref="L43:N43"/>
    <mergeCell ref="A40:N40"/>
    <mergeCell ref="G66:G67"/>
    <mergeCell ref="H66:H67"/>
    <mergeCell ref="J66:J67"/>
    <mergeCell ref="L66:L67"/>
    <mergeCell ref="M66:M67"/>
    <mergeCell ref="N66:N67"/>
    <mergeCell ref="K66:K67"/>
    <mergeCell ref="C43:K43"/>
    <mergeCell ref="B43:B46"/>
    <mergeCell ref="C44:K44"/>
    <mergeCell ref="L44:N44"/>
    <mergeCell ref="D45:E45"/>
    <mergeCell ref="D46:E46"/>
    <mergeCell ref="F112:F113"/>
    <mergeCell ref="D105:D106"/>
    <mergeCell ref="D88:D89"/>
    <mergeCell ref="E88:E89"/>
    <mergeCell ref="F88:F89"/>
    <mergeCell ref="F96:F97"/>
    <mergeCell ref="D107:D108"/>
    <mergeCell ref="E107:E108"/>
    <mergeCell ref="F107:F108"/>
    <mergeCell ref="D112:D113"/>
    <mergeCell ref="C127:C128"/>
    <mergeCell ref="C107:C108"/>
    <mergeCell ref="C112:C113"/>
    <mergeCell ref="E112:E113"/>
    <mergeCell ref="D127:D128"/>
    <mergeCell ref="C121:C122"/>
    <mergeCell ref="D121:D122"/>
    <mergeCell ref="E121:E122"/>
    <mergeCell ref="E127:E128"/>
    <mergeCell ref="C114:C115"/>
    <mergeCell ref="G88:G89"/>
    <mergeCell ref="C90:C91"/>
    <mergeCell ref="C88:C89"/>
    <mergeCell ref="H88:H89"/>
    <mergeCell ref="H90:H91"/>
    <mergeCell ref="G90:G91"/>
    <mergeCell ref="C84:C85"/>
    <mergeCell ref="D84:D85"/>
    <mergeCell ref="E84:E85"/>
    <mergeCell ref="F84:F85"/>
    <mergeCell ref="G84:G85"/>
    <mergeCell ref="H84:H85"/>
    <mergeCell ref="I84:I85"/>
    <mergeCell ref="J84:J85"/>
    <mergeCell ref="I88:I89"/>
    <mergeCell ref="J88:J89"/>
    <mergeCell ref="K88:K89"/>
    <mergeCell ref="N84:N85"/>
    <mergeCell ref="K84:K85"/>
    <mergeCell ref="L84:L85"/>
    <mergeCell ref="N86:N87"/>
    <mergeCell ref="M84:M85"/>
    <mergeCell ref="M86:M87"/>
    <mergeCell ref="M88:M89"/>
    <mergeCell ref="K86:K87"/>
    <mergeCell ref="L86:L87"/>
    <mergeCell ref="K109:K110"/>
    <mergeCell ref="K107:K108"/>
    <mergeCell ref="L88:L89"/>
    <mergeCell ref="K103:K104"/>
    <mergeCell ref="L103:L104"/>
    <mergeCell ref="C105:C106"/>
    <mergeCell ref="D90:D91"/>
    <mergeCell ref="E90:E91"/>
    <mergeCell ref="F90:F91"/>
    <mergeCell ref="C96:C97"/>
    <mergeCell ref="D96:D97"/>
    <mergeCell ref="E96:E97"/>
    <mergeCell ref="F103:F104"/>
    <mergeCell ref="C94:C95"/>
    <mergeCell ref="D94:D95"/>
    <mergeCell ref="E105:E106"/>
    <mergeCell ref="F105:F106"/>
    <mergeCell ref="G96:G97"/>
    <mergeCell ref="H96:H97"/>
    <mergeCell ref="G105:G106"/>
    <mergeCell ref="H105:H106"/>
    <mergeCell ref="G98:G99"/>
    <mergeCell ref="H98:H99"/>
    <mergeCell ref="G100:G101"/>
    <mergeCell ref="H100:H101"/>
    <mergeCell ref="I90:I91"/>
    <mergeCell ref="G94:G95"/>
    <mergeCell ref="H94:H95"/>
    <mergeCell ref="I94:I95"/>
    <mergeCell ref="I96:I97"/>
    <mergeCell ref="R243:R244"/>
    <mergeCell ref="R208:R209"/>
    <mergeCell ref="N98:N99"/>
    <mergeCell ref="K100:K101"/>
    <mergeCell ref="L100:L101"/>
    <mergeCell ref="K98:K99"/>
    <mergeCell ref="L98:L99"/>
    <mergeCell ref="J121:J122"/>
    <mergeCell ref="K121:K122"/>
    <mergeCell ref="W208:W209"/>
    <mergeCell ref="U241:U242"/>
    <mergeCell ref="J90:J91"/>
    <mergeCell ref="K90:K91"/>
    <mergeCell ref="L127:L128"/>
    <mergeCell ref="K105:K106"/>
    <mergeCell ref="K112:K113"/>
    <mergeCell ref="K127:K128"/>
    <mergeCell ref="T217:T218"/>
    <mergeCell ref="U217:U218"/>
    <mergeCell ref="S243:S244"/>
    <mergeCell ref="T243:T244"/>
    <mergeCell ref="S208:S209"/>
    <mergeCell ref="T208:T209"/>
    <mergeCell ref="T219:T220"/>
    <mergeCell ref="S219:S220"/>
    <mergeCell ref="S224:S225"/>
    <mergeCell ref="T224:T225"/>
    <mergeCell ref="S215:S216"/>
    <mergeCell ref="T215:T216"/>
    <mergeCell ref="R241:R242"/>
    <mergeCell ref="S241:S242"/>
    <mergeCell ref="T241:T242"/>
    <mergeCell ref="J116:J117"/>
    <mergeCell ref="M138:M139"/>
    <mergeCell ref="N138:N139"/>
    <mergeCell ref="R170:R171"/>
    <mergeCell ref="Q148:Q149"/>
    <mergeCell ref="R148:X148"/>
    <mergeCell ref="R149:X149"/>
    <mergeCell ref="M105:M106"/>
    <mergeCell ref="I105:I106"/>
    <mergeCell ref="J105:J106"/>
    <mergeCell ref="I109:I110"/>
    <mergeCell ref="J109:J110"/>
    <mergeCell ref="N105:N106"/>
    <mergeCell ref="B47:B49"/>
    <mergeCell ref="C48:C50"/>
    <mergeCell ref="F48:F50"/>
    <mergeCell ref="G48:G50"/>
    <mergeCell ref="L48:L50"/>
    <mergeCell ref="M48:M50"/>
    <mergeCell ref="N48:N49"/>
    <mergeCell ref="D49:D50"/>
    <mergeCell ref="E49:E50"/>
    <mergeCell ref="H48:H50"/>
    <mergeCell ref="I48:I50"/>
    <mergeCell ref="J48:J50"/>
    <mergeCell ref="K48:K50"/>
    <mergeCell ref="N88:N89"/>
    <mergeCell ref="L90:L91"/>
    <mergeCell ref="M90:M91"/>
    <mergeCell ref="N90:N91"/>
    <mergeCell ref="I98:I99"/>
    <mergeCell ref="J98:J99"/>
    <mergeCell ref="F127:F128"/>
    <mergeCell ref="G127:G128"/>
    <mergeCell ref="H127:H128"/>
    <mergeCell ref="J100:J101"/>
    <mergeCell ref="G103:G104"/>
    <mergeCell ref="H103:H104"/>
    <mergeCell ref="I103:I104"/>
    <mergeCell ref="J103:J104"/>
    <mergeCell ref="G138:G139"/>
    <mergeCell ref="H138:H139"/>
    <mergeCell ref="G116:G117"/>
    <mergeCell ref="D114:D115"/>
    <mergeCell ref="H116:H117"/>
    <mergeCell ref="E114:E115"/>
    <mergeCell ref="F114:F115"/>
    <mergeCell ref="E118:E119"/>
    <mergeCell ref="F118:F119"/>
    <mergeCell ref="F121:F122"/>
    <mergeCell ref="C138:C139"/>
    <mergeCell ref="D138:D139"/>
    <mergeCell ref="E138:E139"/>
    <mergeCell ref="F138:F139"/>
    <mergeCell ref="I138:I139"/>
    <mergeCell ref="J138:J139"/>
    <mergeCell ref="K138:K139"/>
    <mergeCell ref="L138:L139"/>
    <mergeCell ref="W172:W173"/>
    <mergeCell ref="X170:X171"/>
    <mergeCell ref="X172:X173"/>
    <mergeCell ref="T152:T153"/>
    <mergeCell ref="U152:U153"/>
    <mergeCell ref="V170:V171"/>
    <mergeCell ref="U172:U173"/>
    <mergeCell ref="W170:W171"/>
    <mergeCell ref="X150:X151"/>
    <mergeCell ref="V152:V153"/>
    <mergeCell ref="W152:W153"/>
    <mergeCell ref="X152:X153"/>
    <mergeCell ref="W150:W151"/>
    <mergeCell ref="V150:V151"/>
    <mergeCell ref="X176:X177"/>
    <mergeCell ref="S174:S175"/>
    <mergeCell ref="T174:T175"/>
    <mergeCell ref="W174:W175"/>
    <mergeCell ref="X174:X175"/>
    <mergeCell ref="S176:S177"/>
    <mergeCell ref="T176:T177"/>
    <mergeCell ref="U174:U175"/>
    <mergeCell ref="V174:V175"/>
    <mergeCell ref="V176:V177"/>
    <mergeCell ref="X179:X180"/>
    <mergeCell ref="R181:R182"/>
    <mergeCell ref="S181:S182"/>
    <mergeCell ref="T181:T182"/>
    <mergeCell ref="U181:U182"/>
    <mergeCell ref="V181:V182"/>
    <mergeCell ref="W181:W182"/>
    <mergeCell ref="X181:X182"/>
    <mergeCell ref="R179:R180"/>
    <mergeCell ref="S179:S180"/>
    <mergeCell ref="X183:X184"/>
    <mergeCell ref="R185:R186"/>
    <mergeCell ref="S185:S186"/>
    <mergeCell ref="T185:T186"/>
    <mergeCell ref="U185:U186"/>
    <mergeCell ref="V185:V186"/>
    <mergeCell ref="W185:W186"/>
    <mergeCell ref="X185:X186"/>
    <mergeCell ref="T183:T184"/>
    <mergeCell ref="U183:U184"/>
    <mergeCell ref="X188:X189"/>
    <mergeCell ref="R190:R191"/>
    <mergeCell ref="S190:S191"/>
    <mergeCell ref="T190:T191"/>
    <mergeCell ref="U190:U191"/>
    <mergeCell ref="V190:V191"/>
    <mergeCell ref="W190:W191"/>
    <mergeCell ref="X190:X191"/>
    <mergeCell ref="V188:V189"/>
    <mergeCell ref="U188:U189"/>
    <mergeCell ref="V243:V244"/>
    <mergeCell ref="T203:T204"/>
    <mergeCell ref="U203:U204"/>
    <mergeCell ref="T199:T200"/>
    <mergeCell ref="U199:U200"/>
    <mergeCell ref="V217:V218"/>
    <mergeCell ref="U219:U220"/>
    <mergeCell ref="U230:U231"/>
    <mergeCell ref="U215:U216"/>
    <mergeCell ref="V203:V204"/>
    <mergeCell ref="W243:W244"/>
    <mergeCell ref="X243:X244"/>
    <mergeCell ref="S194:S195"/>
    <mergeCell ref="T194:T195"/>
    <mergeCell ref="U194:U195"/>
    <mergeCell ref="U243:U244"/>
    <mergeCell ref="X208:X209"/>
    <mergeCell ref="U208:U209"/>
    <mergeCell ref="V208:V209"/>
    <mergeCell ref="S203:S204"/>
    <mergeCell ref="D100:D101"/>
    <mergeCell ref="E100:E101"/>
    <mergeCell ref="F100:F101"/>
    <mergeCell ref="I100:I101"/>
    <mergeCell ref="L116:L117"/>
    <mergeCell ref="M116:M117"/>
    <mergeCell ref="N116:N117"/>
    <mergeCell ref="J114:J115"/>
    <mergeCell ref="K114:K115"/>
    <mergeCell ref="L114:L115"/>
    <mergeCell ref="M114:M115"/>
    <mergeCell ref="N114:N115"/>
    <mergeCell ref="V201:V202"/>
    <mergeCell ref="N118:N119"/>
    <mergeCell ref="S192:S193"/>
    <mergeCell ref="R188:R189"/>
    <mergeCell ref="S188:S189"/>
    <mergeCell ref="R152:R153"/>
    <mergeCell ref="S152:S153"/>
    <mergeCell ref="S170:S171"/>
    <mergeCell ref="N121:N122"/>
    <mergeCell ref="S172:S173"/>
    <mergeCell ref="X197:X198"/>
    <mergeCell ref="V199:V200"/>
    <mergeCell ref="W199:W200"/>
    <mergeCell ref="X199:X200"/>
    <mergeCell ref="D140:D141"/>
    <mergeCell ref="E140:E141"/>
    <mergeCell ref="F140:F141"/>
    <mergeCell ref="V197:V198"/>
    <mergeCell ref="T192:T193"/>
    <mergeCell ref="U192:U193"/>
    <mergeCell ref="R194:R195"/>
    <mergeCell ref="V179:V180"/>
    <mergeCell ref="U176:U177"/>
    <mergeCell ref="T179:T180"/>
    <mergeCell ref="W201:W202"/>
    <mergeCell ref="W197:W198"/>
    <mergeCell ref="L118:L119"/>
    <mergeCell ref="M118:M119"/>
    <mergeCell ref="T172:T173"/>
    <mergeCell ref="V172:V173"/>
    <mergeCell ref="M140:M141"/>
    <mergeCell ref="T170:T171"/>
    <mergeCell ref="U170:U171"/>
    <mergeCell ref="M121:M122"/>
    <mergeCell ref="W192:W193"/>
    <mergeCell ref="X192:X193"/>
    <mergeCell ref="V194:V195"/>
    <mergeCell ref="W194:W195"/>
    <mergeCell ref="X194:X195"/>
    <mergeCell ref="E116:E117"/>
    <mergeCell ref="F116:F117"/>
    <mergeCell ref="X201:X202"/>
    <mergeCell ref="G114:G115"/>
    <mergeCell ref="H114:H115"/>
    <mergeCell ref="I116:I117"/>
    <mergeCell ref="K118:K119"/>
    <mergeCell ref="K116:K117"/>
    <mergeCell ref="W179:W180"/>
    <mergeCell ref="N140:N141"/>
    <mergeCell ref="C116:C117"/>
    <mergeCell ref="D116:D117"/>
    <mergeCell ref="X215:X216"/>
    <mergeCell ref="R215:R216"/>
    <mergeCell ref="K140:K141"/>
    <mergeCell ref="L140:L141"/>
    <mergeCell ref="V215:V216"/>
    <mergeCell ref="W188:W189"/>
    <mergeCell ref="W183:W184"/>
    <mergeCell ref="W176:W177"/>
    <mergeCell ref="I114:I115"/>
    <mergeCell ref="W215:W216"/>
    <mergeCell ref="G140:G141"/>
    <mergeCell ref="H140:H141"/>
    <mergeCell ref="I140:I141"/>
    <mergeCell ref="J140:J141"/>
    <mergeCell ref="R176:R177"/>
    <mergeCell ref="U179:U180"/>
    <mergeCell ref="W203:W204"/>
    <mergeCell ref="V192:V193"/>
    <mergeCell ref="C118:C119"/>
    <mergeCell ref="T188:T189"/>
    <mergeCell ref="W221:W222"/>
    <mergeCell ref="X221:X222"/>
    <mergeCell ref="R221:R222"/>
    <mergeCell ref="S221:S222"/>
    <mergeCell ref="T221:T222"/>
    <mergeCell ref="U221:U222"/>
    <mergeCell ref="C140:C141"/>
    <mergeCell ref="X203:X204"/>
    <mergeCell ref="D118:D119"/>
    <mergeCell ref="X241:X242"/>
    <mergeCell ref="A1:N1"/>
    <mergeCell ref="A41:N41"/>
    <mergeCell ref="A42:N42"/>
    <mergeCell ref="A145:N145"/>
    <mergeCell ref="G118:G119"/>
    <mergeCell ref="H118:H119"/>
    <mergeCell ref="I118:I119"/>
    <mergeCell ref="J118:J119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V233:V234"/>
    <mergeCell ref="W233:W234"/>
    <mergeCell ref="X233:X234"/>
    <mergeCell ref="R233:R234"/>
    <mergeCell ref="S233:S234"/>
    <mergeCell ref="T233:T234"/>
    <mergeCell ref="U233:U234"/>
    <mergeCell ref="S14:T14"/>
    <mergeCell ref="S5:T5"/>
    <mergeCell ref="S10:T10"/>
    <mergeCell ref="S11:T11"/>
    <mergeCell ref="S12:T12"/>
    <mergeCell ref="S13:T13"/>
    <mergeCell ref="S6:T6"/>
    <mergeCell ref="S7:T7"/>
    <mergeCell ref="S8:T8"/>
    <mergeCell ref="S9:T9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P250:X250"/>
    <mergeCell ref="V237:V238"/>
    <mergeCell ref="W237:W238"/>
    <mergeCell ref="X237:X238"/>
    <mergeCell ref="R237:R238"/>
    <mergeCell ref="S237:S238"/>
    <mergeCell ref="T237:T238"/>
    <mergeCell ref="U237:U238"/>
    <mergeCell ref="V241:V242"/>
    <mergeCell ref="W241:W242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2011-02-15T11:04:51Z</cp:lastPrinted>
  <dcterms:created xsi:type="dcterms:W3CDTF">2003-05-13T02:19:39Z</dcterms:created>
  <dcterms:modified xsi:type="dcterms:W3CDTF">2011-02-17T03:14:17Z</dcterms:modified>
  <cp:category/>
  <cp:version/>
  <cp:contentType/>
  <cp:contentStatus/>
</cp:coreProperties>
</file>